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showInkAnnotation="0" codeName="ThisWorkbook" defaultThemeVersion="124226"/>
  <mc:AlternateContent xmlns:mc="http://schemas.openxmlformats.org/markup-compatibility/2006">
    <mc:Choice Requires="x15">
      <x15ac:absPath xmlns:x15ac="http://schemas.microsoft.com/office/spreadsheetml/2010/11/ac" url="http://bikube/Oppdrag/605893/02/Dokumenter/utvikling nytt verktøy/Ferdige versjoner/Versjon 108 (131119), med shell core/"/>
    </mc:Choice>
  </mc:AlternateContent>
  <xr:revisionPtr revIDLastSave="0" documentId="13_ncr:1_{6C25DE79-48AB-4991-BB23-51F602211009}" xr6:coauthVersionLast="43" xr6:coauthVersionMax="43" xr10:uidLastSave="{00000000-0000-0000-0000-000000000000}"/>
  <workbookProtection workbookAlgorithmName="SHA-512" workbookHashValue="NZi2kT25GfnAqVSKCJIU3Ux/AiQMz0U4bznVwUtB+yF2dAlFsm8v5j1rKnKtF4DuR7qcJxccAm11zSt8Vpf/DQ==" workbookSaltValue="bTIOdXYQicUTdNA5pZcCEA==" workbookSpinCount="100000" lockStructure="1"/>
  <bookViews>
    <workbookView xWindow="-108" yWindow="-108" windowWidth="41496" windowHeight="16896" tabRatio="629" xr2:uid="{00000000-000D-0000-FFFF-FFFF00000000}"/>
  </bookViews>
  <sheets>
    <sheet name="Instructions" sheetId="12" r:id="rId1"/>
    <sheet name="Pre-Assessment Estimator" sheetId="5" state="hidden" r:id="rId2"/>
    <sheet name="Assessment Details" sheetId="3" r:id="rId3"/>
    <sheet name="Assessment Issue Scoring" sheetId="19" r:id="rId4"/>
    <sheet name="Poeng" sheetId="13" state="hidden" r:id="rId5"/>
    <sheet name="Manuell filtrering og justering" sheetId="16" state="hidden" r:id="rId6"/>
    <sheet name="Assessment Rating &amp; KPIs" sheetId="11" r:id="rId7"/>
    <sheet name="Assessment References" sheetId="26" r:id="rId8"/>
    <sheet name="Version Control" sheetId="8" r:id="rId9"/>
    <sheet name="Options" sheetId="21" state="hidden" r:id="rId10"/>
    <sheet name="Ubrukt" sheetId="23" state="hidden" r:id="rId11"/>
    <sheet name="Sheet3" sheetId="22" state="hidden" r:id="rId12"/>
    <sheet name="Sheet1" sheetId="17" r:id="rId13"/>
    <sheet name="Sheet2" sheetId="18" r:id="rId14"/>
  </sheets>
  <definedNames>
    <definedName name="_xlnm._FilterDatabase" localSheetId="3" hidden="1">'Assessment Issue Scoring'!$A$9:$N$1335</definedName>
    <definedName name="_xlnm._FilterDatabase" localSheetId="7" hidden="1">'Assessment References'!$B$6:$BG$506</definedName>
    <definedName name="_xlnm._FilterDatabase" localSheetId="1" hidden="1">'Pre-Assessment Estimator'!$A$8:$AA$99</definedName>
    <definedName name="_Man01">Options!$U$6</definedName>
    <definedName name="_PSc1">'Assessment Details'!$M$70</definedName>
    <definedName name="_PSc2">'Assessment Details'!$M$69</definedName>
    <definedName name="Achieved_const">'Assessment Rating &amp; KPIs'!$H$42</definedName>
    <definedName name="Achieved_initial">'Assessment Rating &amp; KPIs'!$D$42</definedName>
    <definedName name="AD_Add01">'Assessment Details'!$C$14</definedName>
    <definedName name="AD_Add02">'Assessment Details'!$C$15</definedName>
    <definedName name="AD_Add04">'Assessment Details'!$C$17</definedName>
    <definedName name="AD_Architect">'Assessment Details'!$C$25</definedName>
    <definedName name="AD_assessor">'Assessment Details'!$C$8</definedName>
    <definedName name="AD_Assessor_org">'Assessment Details'!$C$9</definedName>
    <definedName name="AD_Banner">'Assessment Details'!$B$2</definedName>
    <definedName name="AD_BREEAM_stage">'Assessment Details'!$N$5</definedName>
    <definedName name="AD_BREEAM_version">'Assessment Details'!$N$8</definedName>
    <definedName name="AD_BREEAMAP">'Assessment Details'!$C$28</definedName>
    <definedName name="AD_Buildserve">'Assessment Details'!$C$27</definedName>
    <definedName name="AD_Builduser">'Assessment Details'!$C$7</definedName>
    <definedName name="AD_catlevel">'Assessment Details'!$F$22</definedName>
    <definedName name="AD_catlevel_KOPI">'Assessment Details'!$N$31</definedName>
    <definedName name="AD_catlevel01">'Assessment Details'!$N$31</definedName>
    <definedName name="AD_catlevel02">'Assessment Details'!$N$32</definedName>
    <definedName name="AD_catlevel03">'Assessment Details'!$N$33</definedName>
    <definedName name="AD_client">'Assessment Details'!$C$6</definedName>
    <definedName name="AD_Contractor">'Assessment Details'!$C$24</definedName>
    <definedName name="AD_Developer">'Assessment Details'!$C$23</definedName>
    <definedName name="AD_GIA">'Assessment Details'!$F$12</definedName>
    <definedName name="AD_heat">'Assessment Details'!$F$15</definedName>
    <definedName name="AD_labcat_list">'Assessment Details'!$N$31:$N$34</definedName>
    <definedName name="AD_Labsize">'Assessment Details'!$F$21</definedName>
    <definedName name="AD_Labsize_list">'Assessment Details'!$N$26:$N$29</definedName>
    <definedName name="AD_Labsize01">'Assessment Details'!$N$27</definedName>
    <definedName name="AD_Labsize02">'Assessment Details'!$N$28</definedName>
    <definedName name="AD_Labsize03">'Assessment Details'!$N$29</definedName>
    <definedName name="AD_labsize04">'Assessment Details'!$N$26</definedName>
    <definedName name="AD_Landscape">'Assessment Details'!$F$25</definedName>
    <definedName name="AD_MultiRes_option01a">'Assessment Details'!$M$92</definedName>
    <definedName name="AD_MultiRes_option01b">'Assessment Details'!$M$93</definedName>
    <definedName name="AD_Multitenant">'Assessment Details'!$N$42</definedName>
    <definedName name="AD_NaturalHazards">'Assessment Details'!$F$24</definedName>
    <definedName name="AD_NIFA">'Assessment Details'!$F$13</definedName>
    <definedName name="AD_no">'Assessment Details'!$N$23</definedName>
    <definedName name="AD_option_na">'Assessment Details'!$N$24</definedName>
    <definedName name="AD_Other01">'Assessment Details'!$C$29</definedName>
    <definedName name="AD_Other02">'Assessment Details'!$C$30</definedName>
    <definedName name="AD_other03">'Assessment Details'!$C$31</definedName>
    <definedName name="AD_Other04">'Assessment Details'!$C$32</definedName>
    <definedName name="AD_Ozoneleg">'Assessment Details'!$F$18</definedName>
    <definedName name="AD_p_zone0">'Assessment Details'!$Q$87</definedName>
    <definedName name="AD_p_zone1">'Assessment Details'!$Q$88</definedName>
    <definedName name="AD_P_zone2">'Assessment Details'!$Q$89</definedName>
    <definedName name="AD_P_Zone3">'Assessment Details'!$Q$90</definedName>
    <definedName name="AD_Projman">'Assessment Details'!$C$26</definedName>
    <definedName name="AD_ref">'Assessment Details'!$C$5</definedName>
    <definedName name="AD_refrig">'Assessment Details'!$F$19</definedName>
    <definedName name="AD_SiteAccess">'Assessment Details'!$F$23</definedName>
    <definedName name="AD_stage_list">'Assessment Details'!$N$18:$N$19</definedName>
    <definedName name="AD_Statement04">'Assessment Details'!$N$44</definedName>
    <definedName name="AD_statement05">'Assessment Details'!$N$45</definedName>
    <definedName name="AD_statement06">'Assessment Details'!$N$46</definedName>
    <definedName name="AD_tra01type">'Assessment Details'!$M$64</definedName>
    <definedName name="AD_Trans">'Assessment Details'!$F$20</definedName>
    <definedName name="AD_type_list">'Assessment Details'!$J$5:$J$8</definedName>
    <definedName name="AD_Vehiclewash">'Assessment Details'!$F$26</definedName>
    <definedName name="AD_version">'Assessment Details'!$F$10</definedName>
    <definedName name="AD_Yes">'Assessment Details'!$N$22</definedName>
    <definedName name="AD_YesNo">'Assessment Details'!$N$22:$N$23</definedName>
    <definedName name="AD_YesNo_list">'Assessment Details'!$N$22:$N$24</definedName>
    <definedName name="ADAS0">'Assessment Details'!$F$8</definedName>
    <definedName name="ADAS01">'Assessment Details'!$N$18</definedName>
    <definedName name="ADAS02">'Assessment Details'!$N$19</definedName>
    <definedName name="ADBN">'Assessment Details'!$C$13</definedName>
    <definedName name="ADBT_sub02">'Assessment Details'!$L$5</definedName>
    <definedName name="ADBT_sub03">'Assessment Details'!$L$6</definedName>
    <definedName name="ADBT_sub04">'Assessment Details'!$L$7</definedName>
    <definedName name="ADBT_sub05">'Assessment Details'!$L$8</definedName>
    <definedName name="ADBT_sub06">'Assessment Details'!$L$9</definedName>
    <definedName name="ADBT_sub07">'Assessment Details'!$L$10</definedName>
    <definedName name="ADBT_sub08">'Assessment Details'!$L$11</definedName>
    <definedName name="ADBT_sub09">'Assessment Details'!$L$12</definedName>
    <definedName name="ADBT_sub10">'Assessment Details'!$L$13</definedName>
    <definedName name="ADBT_sub11">'Assessment Details'!$L$14</definedName>
    <definedName name="ADBT_sub12">'Assessment Details'!$L$15</definedName>
    <definedName name="ADBT_sub13">'Assessment Details'!$L$16</definedName>
    <definedName name="ADBT_sub14">'Assessment Details'!$L$17</definedName>
    <definedName name="ADBT_sub15">'Assessment Details'!$L$18</definedName>
    <definedName name="ADBT_sub16">'Assessment Details'!$L$19</definedName>
    <definedName name="ADBT_sub17">'Assessment Details'!$L$20</definedName>
    <definedName name="ADBT0">'Assessment Details'!$F$5</definedName>
    <definedName name="ADBT1">'Assessment Details'!$J$5</definedName>
    <definedName name="ADBT12">'Assessment Details'!$J$9</definedName>
    <definedName name="ADBT14">'Assessment Details'!$J$11</definedName>
    <definedName name="ADBT2">'Assessment Details'!$J$6</definedName>
    <definedName name="ADBT3">'Assessment Details'!$J$7</definedName>
    <definedName name="ADBT8">'Assessment Details'!$J$8</definedName>
    <definedName name="ADBT9">'Assessment Details'!$J$5</definedName>
    <definedName name="ADFume_option01">'Assessment Details'!$M$43</definedName>
    <definedName name="ADIND_option02">'Assessment Details'!$F$16</definedName>
    <definedName name="ADIND_option03">'Assessment Details'!$F$17</definedName>
    <definedName name="ADPT">'Assessment Details'!$F$7</definedName>
    <definedName name="ADPT01">'Assessment Details'!$N$11</definedName>
    <definedName name="ADPT02">'Assessment Details'!$N$12</definedName>
    <definedName name="ADPT03">'Assessment Details'!$N$13</definedName>
    <definedName name="ADPT04">'Assessment Details'!$N$14</definedName>
    <definedName name="AIS_BREEAM_rating_level">Sheet3!$R$20</definedName>
    <definedName name="AIS_construction" localSheetId="11">Sheet3!$A$10</definedName>
    <definedName name="AIS_construction">Options!$B$11</definedName>
    <definedName name="AIS_credit00">Options!$P$3</definedName>
    <definedName name="AIS_credit01">Options!$P$4</definedName>
    <definedName name="AIS_credit02">Options!$P$5</definedName>
    <definedName name="AIS_Error" localSheetId="11">Sheet3!$A$6</definedName>
    <definedName name="AIS_Error">Options!$B$7</definedName>
    <definedName name="AIS_measured" localSheetId="11">Sheet3!$A$8</definedName>
    <definedName name="AIS_measured">Options!$B$9</definedName>
    <definedName name="AIS_MinSt_benchmarks">Sheet3!$I$2:$K$7</definedName>
    <definedName name="AIS_Minstand">Sheet3!$R$3:$R$18</definedName>
    <definedName name="AIS_MinStand_rating_check">Sheet3!$R$21</definedName>
    <definedName name="AIS_MinStandMin">Sheet3!$R$19</definedName>
    <definedName name="AIS_Missing_data" localSheetId="11">Sheet3!$A$7</definedName>
    <definedName name="AIS_Missing_data">Options!$B$8</definedName>
    <definedName name="AIS_Modelled" localSheetId="11">Sheet3!$A$12</definedName>
    <definedName name="AIS_Modelled">Options!$B$13</definedName>
    <definedName name="AIS_NA" localSheetId="11">Sheet3!$A$5</definedName>
    <definedName name="AIS_NA">Options!$B$6</definedName>
    <definedName name="AIS_No" localSheetId="11">Sheet3!$A$4</definedName>
    <definedName name="AIS_No">Options!$B$5</definedName>
    <definedName name="AIS_option00">Sheet3!$T$2</definedName>
    <definedName name="AIS_option00a">Options!$O$9</definedName>
    <definedName name="AIS_option00b">Options!$O$15</definedName>
    <definedName name="AIS_option01">Options!$O$4</definedName>
    <definedName name="AIS_option01a">Options!$O$10</definedName>
    <definedName name="AIS_option01b">Options!$O$16</definedName>
    <definedName name="AIS_option02">Options!$O$5</definedName>
    <definedName name="AIS_option02_50">Options!$O$26</definedName>
    <definedName name="AIS_option02a">Options!$O$11</definedName>
    <definedName name="AIS_option03">Options!$O$6</definedName>
    <definedName name="AIS_option03a">Options!$O$12</definedName>
    <definedName name="AIS_option03b">Options!$O$17</definedName>
    <definedName name="AIS_option04">Options!$O$7</definedName>
    <definedName name="AIS_option04a">Options!$O$13</definedName>
    <definedName name="AIS_option04b">Options!$O$18</definedName>
    <definedName name="AIS_option05">Options!$O$8</definedName>
    <definedName name="AIS_option05a">Options!$O$14</definedName>
    <definedName name="AIS_option05b">Options!$O$19</definedName>
    <definedName name="AIS_percentrange">Sheet3!$C$2:$C$103</definedName>
    <definedName name="AIS_PS">Options!$B$3</definedName>
    <definedName name="AIS_Shell_option01">Options!$O$4:$O$8</definedName>
    <definedName name="AIS_shell_option02">Options!$O$10:$O$14</definedName>
    <definedName name="AIS_shell_option03">Options!$O$16:$O$19</definedName>
    <definedName name="AIS_stage00">Sheet3!$G$2</definedName>
    <definedName name="AIS_stage01">Sheet3!$G$3</definedName>
    <definedName name="AIS_stage02">Sheet3!$G$4</definedName>
    <definedName name="AIS_statement01">Options!$U$69</definedName>
    <definedName name="AIS_statement02">Options!$U$4</definedName>
    <definedName name="AIS_statement03">Options!$U$71</definedName>
    <definedName name="AIS_statement04">Options!$U$5</definedName>
    <definedName name="AIS_statement05">Options!$U$6</definedName>
    <definedName name="AIS_statement06">Options!$U$7</definedName>
    <definedName name="AIS_statement07">Options!$U$9</definedName>
    <definedName name="AIS_statement08">Options!$U$13</definedName>
    <definedName name="AIS_statement10">Options!$U$68</definedName>
    <definedName name="AIS_statement100">Options!$U$10</definedName>
    <definedName name="AIS_Statement101">Options!$U$92</definedName>
    <definedName name="AIS_Statement102">Options!$U$100</definedName>
    <definedName name="AIS_Statement103">Options!$U$101</definedName>
    <definedName name="AIS_Statement104">Options!$U$102</definedName>
    <definedName name="AIS_Statement105">Options!$U$103</definedName>
    <definedName name="AIS_Statement106">Options!$U$104</definedName>
    <definedName name="AIS_statement107">Options!$U$105</definedName>
    <definedName name="AIS_statement108">Options!$U$106</definedName>
    <definedName name="AIS_statement109">Options!$U$107</definedName>
    <definedName name="AIS_statement11">Options!$U$67</definedName>
    <definedName name="AIS_statement110">Options!$U$108</definedName>
    <definedName name="AIS_statement12">Options!$U$14</definedName>
    <definedName name="AIS_statement15">Options!$U$15</definedName>
    <definedName name="AIS_statement16">Options!$U$16</definedName>
    <definedName name="AIS_statement17">Options!$U$17</definedName>
    <definedName name="AIS_statement18">Options!$U$18</definedName>
    <definedName name="AIS_statement19">Options!$U$19</definedName>
    <definedName name="AIS_statement20">Options!$U$20</definedName>
    <definedName name="AIS_statement20b">Options!$U$21</definedName>
    <definedName name="AIS_statement22">Options!$U$22</definedName>
    <definedName name="AIS_statement24">Options!$U$23</definedName>
    <definedName name="AIS_statement25">Options!$U$24</definedName>
    <definedName name="AIS_statement26">Options!$U$72</definedName>
    <definedName name="AIS_statement27">Options!$U$25</definedName>
    <definedName name="AIS_statement28">Options!$U$26</definedName>
    <definedName name="AIS_statement29">'Assessment Details'!$E$35</definedName>
    <definedName name="AIS_statement30">Options!$U$27</definedName>
    <definedName name="AIS_statement31">Options!$U$28</definedName>
    <definedName name="AIS_statement32">Options!$U$73</definedName>
    <definedName name="AIS_statement33">Options!$U$29</definedName>
    <definedName name="AIS_statement34">Options!$U$35</definedName>
    <definedName name="AIS_statement35">Options!$U$36</definedName>
    <definedName name="AIS_statement36">Options!$U$37</definedName>
    <definedName name="AIS_statement37">Options!$U$38</definedName>
    <definedName name="AIS_statement38">Options!$U$30</definedName>
    <definedName name="AIS_statement39">Options!$U$31</definedName>
    <definedName name="AIS_statement40">Options!$U$32</definedName>
    <definedName name="AIS_statement41">Options!$U$33</definedName>
    <definedName name="AIS_statement42">Options!$U$34</definedName>
    <definedName name="AIS_statement43">Options!$U$39</definedName>
    <definedName name="AIS_statement44">Options!$U$41</definedName>
    <definedName name="AIS_statement45">Options!$U$50</definedName>
    <definedName name="AIS_statement46">Options!$U$51</definedName>
    <definedName name="AIS_statement47">Options!$U$42</definedName>
    <definedName name="AIS_statement48">Options!$U$44</definedName>
    <definedName name="AIS_statement49">Options!$U$45</definedName>
    <definedName name="AIS_statement50">Options!$U$46</definedName>
    <definedName name="AIS_statement51">Options!$U$47</definedName>
    <definedName name="AIS_statement52">Options!$U$43</definedName>
    <definedName name="AIS_statement53">Options!$U$48</definedName>
    <definedName name="AIS_statement54">Options!$U$49</definedName>
    <definedName name="AIS_statement55">Options!$U$55</definedName>
    <definedName name="AIS_statement56">Options!$U$56</definedName>
    <definedName name="AIS_statement57">Options!$U$70</definedName>
    <definedName name="AIS_statement58">Options!$U$57</definedName>
    <definedName name="AIS_statement59">Options!$U$58</definedName>
    <definedName name="AIS_statement60">Options!$U$59</definedName>
    <definedName name="AIS_statement61">Options!$U$60</definedName>
    <definedName name="AIS_statement62">Options!$U$52</definedName>
    <definedName name="AIS_statement63">Options!$U$53</definedName>
    <definedName name="AIS_statement64">Options!$U$54</definedName>
    <definedName name="AIS_statement65">Options!$U$74</definedName>
    <definedName name="AIS_statement66">Options!$U$75</definedName>
    <definedName name="AIS_statement67">Options!$U$64</definedName>
    <definedName name="AIS_statement68">Options!$U$65</definedName>
    <definedName name="AIS_statement69">Options!$U$66</definedName>
    <definedName name="AIS_statement70">Options!$U$61</definedName>
    <definedName name="AIS_statement71">Options!$U$62</definedName>
    <definedName name="AIS_statement72">Options!$U$63</definedName>
    <definedName name="AIS_statement73">Options!$U$40</definedName>
    <definedName name="AIS_statement74">Options!$U$76</definedName>
    <definedName name="AIS_statement75">Options!$U$77</definedName>
    <definedName name="AIS_statement76">Options!$U$78</definedName>
    <definedName name="AIS_statement77">Options!$U$79</definedName>
    <definedName name="AIS_statement78">Options!$U$80</definedName>
    <definedName name="AIS_statement79">Options!$U$81</definedName>
    <definedName name="AIS_statement80">Options!$U$82</definedName>
    <definedName name="AIS_Statement81">Options!$U$83</definedName>
    <definedName name="AIS_statement82">Options!$U$84</definedName>
    <definedName name="AIS_statement83">Options!$U$85</definedName>
    <definedName name="AIS_statement84">Options!$U$86</definedName>
    <definedName name="AIS_statement85">Options!$U$87</definedName>
    <definedName name="AIS_statement86">Options!$U$88</definedName>
    <definedName name="AIS_statement87">Options!$U$89</definedName>
    <definedName name="AIS_Statement88">Options!$U$90</definedName>
    <definedName name="AIS_Statement89">Options!$U$8</definedName>
    <definedName name="AIS_statement90">Options!$U$91</definedName>
    <definedName name="AIS_statement91">Options!$U$93</definedName>
    <definedName name="AIS_statement92">Options!$U$94</definedName>
    <definedName name="AIS_statement93">Options!$U$95</definedName>
    <definedName name="AIS_statement94">Options!$U$96</definedName>
    <definedName name="AIS_Statement95">Options!$U$97</definedName>
    <definedName name="AIS_statement96">Options!$U$98</definedName>
    <definedName name="AIS_statement97">Options!$U$99</definedName>
    <definedName name="AIS_statement98">Options!$U$11</definedName>
    <definedName name="AIS_statement99">Options!$U$12</definedName>
    <definedName name="AIS_target" localSheetId="11">Sheet3!$A$9</definedName>
    <definedName name="AIS_target">Options!$B$10</definedName>
    <definedName name="AIS_units01">Sheet3!$E$2</definedName>
    <definedName name="AIS_units02">Sheet3!$E$3</definedName>
    <definedName name="AIS_units03">Sheet3!$E$4</definedName>
    <definedName name="AIS_units04">Sheet3!$E$5</definedName>
    <definedName name="AIS_units05">Sheet3!$E$6</definedName>
    <definedName name="AIS_units06">Sheet3!$E$7</definedName>
    <definedName name="AIS_units07">Sheet3!$E$8</definedName>
    <definedName name="AIS_units08">Sheet3!$E$9</definedName>
    <definedName name="AIS_units09">Sheet3!$E$10</definedName>
    <definedName name="AIS_units10">Sheet3!$E$11</definedName>
    <definedName name="AIS_units11">Sheet3!$E$12</definedName>
    <definedName name="AIS_units12">Sheet3!$E$13</definedName>
    <definedName name="AIS_units13">Sheet3!$E$14</definedName>
    <definedName name="AIS_units14">Sheet3!$E$15</definedName>
    <definedName name="AIS_units16">Sheet3!$E$16</definedName>
    <definedName name="AIS_units17">Sheet3!$E$17</definedName>
    <definedName name="AIS_units18">Sheet3!$E$18</definedName>
    <definedName name="AIS_units19">Sheet3!$E$20</definedName>
    <definedName name="AIS_units20">Sheet3!$E$21</definedName>
    <definedName name="AIS_units21">Sheet3!$E$19</definedName>
    <definedName name="AIS_units22">Sheet3!$E$22</definedName>
    <definedName name="AIS_units23">Sheet3!$E$23</definedName>
    <definedName name="AIS_units24">Sheet3!$E$24</definedName>
    <definedName name="AIS_units25">Sheet3!$E$25</definedName>
    <definedName name="AIS_units26">Sheet3!$E$26</definedName>
    <definedName name="AIS_units27">Sheet3!$E$27</definedName>
    <definedName name="AIS_units28">Sheet3!$E$28</definedName>
    <definedName name="AIS_units29">Sheet3!$E$29</definedName>
    <definedName name="AIS_use" localSheetId="11">Sheet3!$A$11</definedName>
    <definedName name="AIS_use">Options!$B$12</definedName>
    <definedName name="AIS_Yes" localSheetId="11">Sheet3!$A$3</definedName>
    <definedName name="AIS_Yes">Options!$B$4</definedName>
    <definedName name="apartment">'Assessment Details'!$T$8</definedName>
    <definedName name="BP_01">'Assessment Rating &amp; KPIs'!$C$32</definedName>
    <definedName name="BP_02">'Assessment Rating &amp; KPIs'!$C$33</definedName>
    <definedName name="BP_03">'Assessment Rating &amp; KPIs'!$C$34</definedName>
    <definedName name="BP_04">'Assessment Rating &amp; KPIs'!$C$35</definedName>
    <definedName name="BP_05">'Assessment Rating &amp; KPIs'!$C$36</definedName>
    <definedName name="BP_06">'Assessment Rating &amp; KPIs'!$C$37</definedName>
    <definedName name="BP_07">'Assessment Rating &amp; KPIs'!$C$38</definedName>
    <definedName name="BP_08">'Assessment Rating &amp; KPIs'!$C$39</definedName>
    <definedName name="BP_09">'Assessment Rating &amp; KPIs'!$C$40</definedName>
    <definedName name="BP_10">'Assessment Rating &amp; KPIs'!$C$41</definedName>
    <definedName name="BP_11">'Assessment Rating &amp; KPIs'!$D$32</definedName>
    <definedName name="BP_12">'Assessment Rating &amp; KPIs'!$D$33</definedName>
    <definedName name="BP_13">'Assessment Rating &amp; KPIs'!$D$34</definedName>
    <definedName name="BP_14">'Assessment Rating &amp; KPIs'!$D$35</definedName>
    <definedName name="BP_15">'Assessment Rating &amp; KPIs'!$D$36</definedName>
    <definedName name="BP_16">'Assessment Rating &amp; KPIs'!$D$37</definedName>
    <definedName name="BP_18">'Assessment Rating &amp; KPIs'!$D$38</definedName>
    <definedName name="BP_19">'Assessment Rating &amp; KPIs'!$D$39</definedName>
    <definedName name="BP_20">'Assessment Rating &amp; KPIs'!$D$40</definedName>
    <definedName name="BP_21">'Assessment Rating &amp; KPIs'!$D$41</definedName>
    <definedName name="BP_22">'Assessment Rating &amp; KPIs'!$E$32</definedName>
    <definedName name="BP_23">'Assessment Rating &amp; KPIs'!$E$33</definedName>
    <definedName name="BP_24">'Assessment Rating &amp; KPIs'!$E$34</definedName>
    <definedName name="BP_25">'Assessment Rating &amp; KPIs'!$E$35</definedName>
    <definedName name="BP_26">'Assessment Rating &amp; KPIs'!$E$36</definedName>
    <definedName name="BP_27">'Assessment Rating &amp; KPIs'!$E$37</definedName>
    <definedName name="BP_28">'Assessment Rating &amp; KPIs'!$E$38</definedName>
    <definedName name="BP_29">'Assessment Rating &amp; KPIs'!$E$39</definedName>
    <definedName name="BP_30">'Assessment Rating &amp; KPIs'!$E$40</definedName>
    <definedName name="BP_31">'Assessment Rating &amp; KPIs'!$E$41</definedName>
    <definedName name="BP_32">'Assessment Rating &amp; KPIs'!$F$32</definedName>
    <definedName name="BP_34">'Assessment Rating &amp; KPIs'!$F$34</definedName>
    <definedName name="BP_35">'Assessment Rating &amp; KPIs'!$F$35</definedName>
    <definedName name="BP_36">'Assessment Rating &amp; KPIs'!$F$36</definedName>
    <definedName name="BP_38">'Assessment Rating &amp; KPIs'!$F$37</definedName>
    <definedName name="BP_39">'Assessment Rating &amp; KPIs'!$F$38</definedName>
    <definedName name="BP_40">'Assessment Rating &amp; KPIs'!$F$39</definedName>
    <definedName name="BP_BREEAMRating">Poeng!$AS$112</definedName>
    <definedName name="BP_Energy_score">'Assessment Rating &amp; KPIs'!$G$34</definedName>
    <definedName name="BP_Innovation_score">'Assessment Rating &amp; KPIs'!$G$41</definedName>
    <definedName name="BP_LUE_score">'Assessment Rating &amp; KPIs'!$G$39</definedName>
    <definedName name="BP_Man_score">'Assessment Rating &amp; KPIs'!$G$32</definedName>
    <definedName name="BP_Materials_score">'Assessment Rating &amp; KPIs'!$G$37</definedName>
    <definedName name="BP_MinStandards">Poeng!$AS$107</definedName>
    <definedName name="BP_MinStandards_const">Poeng!$AY$107</definedName>
    <definedName name="BP_MinStandards_design">Poeng!$AV$107</definedName>
    <definedName name="BP_rating_benchmarks">Sheet3!$L$22:$N$27</definedName>
    <definedName name="BP_Trans_score">'Assessment Rating &amp; KPIs'!$G$35</definedName>
    <definedName name="BP_Waste_Score">'Assessment Rating &amp; KPIs'!$G$38</definedName>
    <definedName name="BP_Water_score">'Assessment Rating &amp; KPIs'!$G$36</definedName>
    <definedName name="BRK_Banner">'Pre-Assessment Estimator'!$C$1</definedName>
    <definedName name="ELI">'Assessment Issue Scoring'!$B$1307</definedName>
    <definedName name="ENE">'Assessment Issue Scoring'!$B$380</definedName>
    <definedName name="Ene_01">Poeng!$D$31</definedName>
    <definedName name="Ene_02">Poeng!$D$32</definedName>
    <definedName name="Ene_03">Poeng!$D$33</definedName>
    <definedName name="Ene_04">Poeng!$D$34</definedName>
    <definedName name="Ene_05">Poeng!$D$35</definedName>
    <definedName name="Ene_06">Poeng!$D$36</definedName>
    <definedName name="Ene_07">Poeng!$D$37</definedName>
    <definedName name="Ene_08">Poeng!$D$38</definedName>
    <definedName name="Ene_09">Poeng!$D$39</definedName>
    <definedName name="Ene_23">Poeng!$D$40</definedName>
    <definedName name="Ene_c_user">Poeng!$Y$41</definedName>
    <definedName name="Ene_cont_tot">Poeng!$U$41</definedName>
    <definedName name="Ene_Credits">Poeng!$R$41</definedName>
    <definedName name="Ene_d_user">Poeng!$X$41</definedName>
    <definedName name="Ene_tot_user">Poeng!$W$41</definedName>
    <definedName name="Ene01_27">Poeng!$BH$32</definedName>
    <definedName name="Ene01_28">Poeng!$AS$31</definedName>
    <definedName name="Ene01_41">Poeng!$T$31</definedName>
    <definedName name="Ene01_42">Poeng!$U$31</definedName>
    <definedName name="Ene01_credits">Poeng!$R$31</definedName>
    <definedName name="Ene01_minstd">Poeng!$AS$31</definedName>
    <definedName name="Ene01_tot">Poeng!$BG$32</definedName>
    <definedName name="Ene01_user">Poeng!$W$31</definedName>
    <definedName name="Ene02_10">Poeng!$T$32</definedName>
    <definedName name="Ene02_11">Poeng!$BH$33</definedName>
    <definedName name="Ene02_12">Poeng!$AS$32</definedName>
    <definedName name="Ene02_13">Poeng!$U$32</definedName>
    <definedName name="Ene02_credits">Poeng!$R$32</definedName>
    <definedName name="Ene02_tot">Poeng!$BG$33</definedName>
    <definedName name="Ene02_user">Poeng!$W$32</definedName>
    <definedName name="Ene03_05">Poeng!$T$33</definedName>
    <definedName name="Ene03_06">Poeng!$U$33</definedName>
    <definedName name="Ene03_credits">Poeng!$R$33</definedName>
    <definedName name="Ene03_minstd">Poeng!$AS$33</definedName>
    <definedName name="Ene03_user">Poeng!$W$33</definedName>
    <definedName name="Ene04_15">Poeng!$BG$34</definedName>
    <definedName name="Ene04_16">Poeng!$AS$34</definedName>
    <definedName name="Ene04_19">Poeng!$T$34</definedName>
    <definedName name="Ene04_20">Poeng!$U$34</definedName>
    <definedName name="Ene04_credits">Poeng!$R$34</definedName>
    <definedName name="Ene04_tot">Poeng!$BF$34</definedName>
    <definedName name="Ene04_user">Poeng!$W$34</definedName>
    <definedName name="Ene05_14">Poeng!$BG$35</definedName>
    <definedName name="Ene05_15">Poeng!$AS$35</definedName>
    <definedName name="Ene05_20">Poeng!$T$35</definedName>
    <definedName name="Ene05_21">Poeng!$U$35</definedName>
    <definedName name="Ene05_credits">Poeng!$R$35</definedName>
    <definedName name="Ene05_tot">Poeng!$BF$35</definedName>
    <definedName name="Ene05_user">Poeng!$W$35</definedName>
    <definedName name="Ene06_11">Poeng!$T$36</definedName>
    <definedName name="Ene06_12">Poeng!$U$36</definedName>
    <definedName name="Ene06_credits">Poeng!$R$36</definedName>
    <definedName name="Ene06_minstd">Poeng!$AS$36</definedName>
    <definedName name="Ene06_tot">Poeng!$BF$36</definedName>
    <definedName name="Ene06_user">Poeng!$W$36</definedName>
    <definedName name="Ene07_24">Poeng!$T$37</definedName>
    <definedName name="Ene07_25">Poeng!$U$37</definedName>
    <definedName name="Ene07_credits">Poeng!$R$37</definedName>
    <definedName name="Ene07_minstd">Poeng!$AS$37</definedName>
    <definedName name="Ene07_tot">Poeng!$BF$37</definedName>
    <definedName name="Ene07_user">Poeng!$W$37</definedName>
    <definedName name="Ene08_27">Poeng!$T$38</definedName>
    <definedName name="Ene08_29">Poeng!$U$38</definedName>
    <definedName name="Ene08_credits">Poeng!$R$38</definedName>
    <definedName name="Ene08_minstd">Poeng!$AS$38</definedName>
    <definedName name="Ene08_tot">Poeng!$BF$38</definedName>
    <definedName name="Ene08_user">Poeng!$W$38</definedName>
    <definedName name="Ene09_07">Poeng!$T$39</definedName>
    <definedName name="Ene09_10">Poeng!$U$39</definedName>
    <definedName name="Ene09_credits">Poeng!$R$39</definedName>
    <definedName name="Ene09_minstd">Poeng!$AS$39</definedName>
    <definedName name="Ene09_tot">Poeng!$BF$39</definedName>
    <definedName name="Ene09_user">Poeng!$W$39</definedName>
    <definedName name="Ene23_cont">Poeng!$U$40</definedName>
    <definedName name="Ene23_credits">Poeng!$R$40</definedName>
    <definedName name="Ene23_minstd">Poeng!$AS$40</definedName>
    <definedName name="Ene23_user">Poeng!$W$40</definedName>
    <definedName name="HEA">'Assessment Issue Scoring'!$B$168</definedName>
    <definedName name="Hea_01">Poeng!$D$19</definedName>
    <definedName name="Hea_02">Poeng!$D$20</definedName>
    <definedName name="Hea_03">Poeng!$D$21</definedName>
    <definedName name="Hea_04">Poeng!$D$22</definedName>
    <definedName name="Hea_05">Poeng!$D$23</definedName>
    <definedName name="Hea_06">Poeng!$D$24</definedName>
    <definedName name="Hea_07">Poeng!$D$25</definedName>
    <definedName name="Hea_08">Poeng!$D$26</definedName>
    <definedName name="Hea_09">Poeng!$D$27</definedName>
    <definedName name="Hea_cont_tot">Poeng!$U$28</definedName>
    <definedName name="Hea_Credits">Poeng!$R$28</definedName>
    <definedName name="Hea_Weight">'Assessment Rating &amp; KPIs'!$F$33</definedName>
    <definedName name="Hea01_26">Poeng!$T$19</definedName>
    <definedName name="Hea01_27">Poeng!$U$19</definedName>
    <definedName name="Hea01_credits">Poeng!$R$19</definedName>
    <definedName name="Hea01_Crit1">Poeng!$D$102</definedName>
    <definedName name="Hea01_Crit1_cont">Poeng!$U$102</definedName>
    <definedName name="Hea01_Crit1_credits">Poeng!$R$102</definedName>
    <definedName name="Hea01_minstd">Poeng!$AS$102</definedName>
    <definedName name="Hea01_user">Poeng!$W$19</definedName>
    <definedName name="Hea02_25">Poeng!$T$20</definedName>
    <definedName name="Hea02_26">Poeng!$U$20</definedName>
    <definedName name="Hea02_credits">Poeng!$R$20</definedName>
    <definedName name="Hea02_minstd">Poeng!$AS$20</definedName>
    <definedName name="Hea02_tot">Poeng!$BG$20</definedName>
    <definedName name="Hea02_user">Poeng!$W$20</definedName>
    <definedName name="Hea03_09">Poeng!$T$21</definedName>
    <definedName name="Hea03_10">Poeng!$BH$21</definedName>
    <definedName name="Hea03_11">Poeng!$AS$21</definedName>
    <definedName name="Hea03_contr">Poeng!$U$21</definedName>
    <definedName name="Hea03_credits">Poeng!$R$21</definedName>
    <definedName name="Hea03_tot">Poeng!$BG$21</definedName>
    <definedName name="Hea03_user">Poeng!$W$21</definedName>
    <definedName name="Hea04_10">Poeng!$BH$22</definedName>
    <definedName name="Hea04_11">Poeng!$AS$22</definedName>
    <definedName name="Hea04_12">Poeng!$T$22</definedName>
    <definedName name="Hea04_13">Poeng!$U$22</definedName>
    <definedName name="Hea04_credits">Poeng!$R$22</definedName>
    <definedName name="Hea04_tot">Poeng!$BG$22</definedName>
    <definedName name="Hea04_user">Poeng!$W$22</definedName>
    <definedName name="Hea05_07">Poeng!$T$23</definedName>
    <definedName name="Hea05_08">Poeng!$U$23</definedName>
    <definedName name="Hea05_credits">Poeng!$R$23</definedName>
    <definedName name="Hea05_minstd">Poeng!$AS$23</definedName>
    <definedName name="Hea05_tot">Poeng!$BG$23</definedName>
    <definedName name="Hea05_user">Poeng!$W$23</definedName>
    <definedName name="Hea06_07">Poeng!$T$24</definedName>
    <definedName name="Hea06_contr">Poeng!$U$24</definedName>
    <definedName name="Hea06_credits">Poeng!$R$24</definedName>
    <definedName name="Hea06_minstd">Poeng!$AS$24</definedName>
    <definedName name="Hea06_tot">Poeng!$BG$24</definedName>
    <definedName name="Hea06_user">Poeng!$W$24</definedName>
    <definedName name="Hea07_07">Poeng!$T$25</definedName>
    <definedName name="Hea07_contr">Poeng!$U$25</definedName>
    <definedName name="Hea07_Credits">Poeng!$R$25</definedName>
    <definedName name="Hea07_minstd">Poeng!$AS$25</definedName>
    <definedName name="Hea07_Tot">Poeng!$BG$26</definedName>
    <definedName name="Hea07_user">Poeng!$W$25</definedName>
    <definedName name="Hea08_07">Poeng!$T$26</definedName>
    <definedName name="Hea08_contr">Poeng!$U$26</definedName>
    <definedName name="Hea08_Credits">Poeng!$R$26</definedName>
    <definedName name="Hea08_minstd">Poeng!$AS$26</definedName>
    <definedName name="Hea08_tot">Poeng!$BG$27</definedName>
    <definedName name="Hea08_user">Poeng!$W$26</definedName>
    <definedName name="Hea09_cont">Poeng!$U$27</definedName>
    <definedName name="Hea09_Credits">Poeng!$R$27</definedName>
    <definedName name="Hea09_minstd">Poeng!$AS$27</definedName>
    <definedName name="Hea09_user">Poeng!$W$27</definedName>
    <definedName name="HUG">'Pre-Assessment Estimator'!$AK$14</definedName>
    <definedName name="HW_c_user">Poeng!$Y$28</definedName>
    <definedName name="HW_d_user">Poeng!$X$28</definedName>
    <definedName name="HW_tot_user">Poeng!$W$28</definedName>
    <definedName name="inddwell">'Assessment Details'!$T$7</definedName>
    <definedName name="Inn_01">Poeng!$D$90</definedName>
    <definedName name="Inn_02">Poeng!$D$91</definedName>
    <definedName name="Inn_03">Poeng!$D$92</definedName>
    <definedName name="Inn_04">Poeng!$D$93</definedName>
    <definedName name="Inn_05">Poeng!$D$94</definedName>
    <definedName name="Inn_06">Poeng!$D$95</definedName>
    <definedName name="Inn_07">Poeng!$D$96</definedName>
    <definedName name="Inn_08">Poeng!$D$97</definedName>
    <definedName name="Inn_09">Poeng!$D$98</definedName>
    <definedName name="Inn_c_user">Poeng!$Y$99</definedName>
    <definedName name="Inn_cont_tot">Poeng!$U$99</definedName>
    <definedName name="Inn_Credits">Poeng!$R$99</definedName>
    <definedName name="Inn_d_user">Poeng!$X$99</definedName>
    <definedName name="Inn_tot_user">Poeng!$W$99</definedName>
    <definedName name="Inn_Weight">'Assessment Rating &amp; KPIs'!$F$41</definedName>
    <definedName name="Inn01_cont">Poeng!$U$90</definedName>
    <definedName name="Inn01_credits">Poeng!$R$90</definedName>
    <definedName name="Inn01_minstd">Poeng!$AS$90</definedName>
    <definedName name="Inn01_user">Poeng!$W$90</definedName>
    <definedName name="Inn02_cont">Poeng!$U$91</definedName>
    <definedName name="Inn02_credits">Poeng!$R$91</definedName>
    <definedName name="Inn02_minstd">Poeng!$AS$91</definedName>
    <definedName name="Inn02_user">Poeng!$W$91</definedName>
    <definedName name="Inn03_cont">Poeng!$U$92</definedName>
    <definedName name="Inn03_credits">Poeng!$R$92</definedName>
    <definedName name="Inn03_minstd">Poeng!$AS$92</definedName>
    <definedName name="Inn03_user">Poeng!$W$92</definedName>
    <definedName name="Inn04_cont">Poeng!$U$93</definedName>
    <definedName name="Inn04_credits">Poeng!$R$93</definedName>
    <definedName name="Inn04_minstd">Poeng!$AS$93</definedName>
    <definedName name="Inn04_user">Poeng!$W$93</definedName>
    <definedName name="Inn05_cont">Poeng!$U$94</definedName>
    <definedName name="Inn05_credits">Poeng!$R$94</definedName>
    <definedName name="Inn05_minstd">Poeng!$AS$94</definedName>
    <definedName name="Inn05_user">Poeng!$W$94</definedName>
    <definedName name="Inn06_cont">Poeng!$U$95</definedName>
    <definedName name="Inn06_credits">Poeng!$R$95</definedName>
    <definedName name="Inn06_minstd">Poeng!$AS$95</definedName>
    <definedName name="Inn06_user">Poeng!$W$95</definedName>
    <definedName name="Inn07_cont">Poeng!$U$96</definedName>
    <definedName name="Inn07_credits">Poeng!$R$96</definedName>
    <definedName name="Inn07_minstd">Poeng!$AS$96</definedName>
    <definedName name="Inn07_user">Poeng!$W$96</definedName>
    <definedName name="Inn08_cont">Poeng!$U$97</definedName>
    <definedName name="Inn08_credits">Poeng!$R$97</definedName>
    <definedName name="Inn08_minstd">Poeng!$AS$97</definedName>
    <definedName name="Inn08_user">Poeng!$W$97</definedName>
    <definedName name="Inn09_cont">Poeng!$U$98</definedName>
    <definedName name="Inn09_credits">Poeng!$R$98</definedName>
    <definedName name="Inn09_minstd">Poeng!$AS$98</definedName>
    <definedName name="Inn09_user">Poeng!$W$98</definedName>
    <definedName name="KPI_01">'Assessment Issue Scoring'!$E$48</definedName>
    <definedName name="KPI_02">'Assessment Issue Scoring'!$E$89</definedName>
    <definedName name="KPI_03">'Assessment Issue Scoring'!$E$90</definedName>
    <definedName name="KPI_04">'Assessment Issue Scoring'!$E$91</definedName>
    <definedName name="KPI_05">'Assessment Issue Scoring'!$E$92</definedName>
    <definedName name="KPI_06">'Assessment Issue Scoring'!$E$93</definedName>
    <definedName name="KPI_07">'Assessment Issue Scoring'!$E$94</definedName>
    <definedName name="KPI_08">'Assessment Issue Scoring'!$E$95</definedName>
    <definedName name="KPI_09">'Assessment Issue Scoring'!$E$96</definedName>
    <definedName name="KPI_10">'Assessment Issue Scoring'!$E$99</definedName>
    <definedName name="KPI_11">'Assessment Issue Scoring'!$E$100</definedName>
    <definedName name="KPI_12">'Assessment Issue Scoring'!$E$101</definedName>
    <definedName name="KPI_13">'Assessment Issue Scoring'!$E$102</definedName>
    <definedName name="KPI_14">'Assessment Issue Scoring'!$E$103</definedName>
    <definedName name="KPI_15">'Assessment Issue Scoring'!$E$104</definedName>
    <definedName name="KPI_16">'Assessment Issue Scoring'!$E$107</definedName>
    <definedName name="KPI_17">'Assessment Issue Scoring'!$E$108</definedName>
    <definedName name="KPI_18">'Assessment Issue Scoring'!$E$210</definedName>
    <definedName name="KPI_19">'Assessment Issue Scoring'!$E$211</definedName>
    <definedName name="KPI_20">'Assessment Issue Scoring'!$E$235</definedName>
    <definedName name="KPI_21">'Assessment Issue Scoring'!$E$236</definedName>
    <definedName name="KPI_22">'Assessment Issue Scoring'!$E$784</definedName>
    <definedName name="KPI_23">'Assessment Issue Scoring'!$E$785</definedName>
    <definedName name="KPI_24">'Assessment Issue Scoring'!$E$876</definedName>
    <definedName name="KPI_25">'Assessment Issue Scoring'!$E$877</definedName>
    <definedName name="KPI_26">'Assessment Issue Scoring'!$E$880</definedName>
    <definedName name="KPI_27">'Assessment Issue Scoring'!$E$892</definedName>
    <definedName name="KPI_27a">'Assessment Issue Scoring'!$E$893</definedName>
    <definedName name="KPI_27b">'Assessment Issue Scoring'!$E$894</definedName>
    <definedName name="KPI_28">'Assessment Issue Scoring'!$E$975</definedName>
    <definedName name="KPI_28u">'Assessment Issue Scoring'!$F$975</definedName>
    <definedName name="KPI_29">'Assessment Issue Scoring'!$E$979</definedName>
    <definedName name="KPI_29a">'Assessment Issue Scoring'!$E$978</definedName>
    <definedName name="KPI_29u">'Assessment Issue Scoring'!$F$979</definedName>
    <definedName name="KPI_30">'Assessment Issue Scoring'!$E$1221</definedName>
    <definedName name="KPI_31">'Assessment Issue Scoring'!$E$1222</definedName>
    <definedName name="KPI_32">'Assessment Issue Scoring'!$E$1223</definedName>
    <definedName name="KPI_33">'Assessment Issue Scoring'!$E$1224</definedName>
    <definedName name="KPI_33a">'Assessment Issue Scoring'!$E$1225</definedName>
    <definedName name="KPI_33b">'Assessment Issue Scoring'!$E$1226</definedName>
    <definedName name="KPI_34">'Assessment Issue Scoring'!$E$1199</definedName>
    <definedName name="KPI_34a">'Assessment Issue Scoring'!$E$1200</definedName>
    <definedName name="KPI_35">'Assessment Issue Scoring'!$E$391</definedName>
    <definedName name="KPI_36">'Assessment Issue Scoring'!$E$392</definedName>
    <definedName name="KPI_37">'Assessment Issue Scoring'!$E$925</definedName>
    <definedName name="LE">'Assessment Issue Scoring'!$B$1061</definedName>
    <definedName name="LE_01">Poeng!$D$74</definedName>
    <definedName name="LE_02">Poeng!$D$75</definedName>
    <definedName name="LE_04">Poeng!$D$76</definedName>
    <definedName name="LE_05">Poeng!$D$77</definedName>
    <definedName name="LE_06">Poeng!$D$78</definedName>
    <definedName name="LE_cont_tot">Poeng!$U$79</definedName>
    <definedName name="LE_Credits">Poeng!$R$79</definedName>
    <definedName name="LE01_07">Poeng!$T$74</definedName>
    <definedName name="LE01_08">Poeng!$U$74</definedName>
    <definedName name="LE01_credits">Poeng!$R$74</definedName>
    <definedName name="LE01_minstd">Poeng!$AS$74</definedName>
    <definedName name="LE01_tot">Poeng!$BF$74</definedName>
    <definedName name="LE01_user">Poeng!$W$74</definedName>
    <definedName name="LE02_07">Poeng!$T$75</definedName>
    <definedName name="LE02_08">Poeng!$U$75</definedName>
    <definedName name="LE02_credits">Poeng!$R$75</definedName>
    <definedName name="LE02_minstd">Poeng!$AS$75</definedName>
    <definedName name="LE02_tot">Poeng!$BF$75</definedName>
    <definedName name="LE02_user">Poeng!$W$75</definedName>
    <definedName name="LE03_minstd">Poeng!$AS$76</definedName>
    <definedName name="LE04_13">Poeng!$T$76</definedName>
    <definedName name="LE04_14">Poeng!$U$76</definedName>
    <definedName name="LE04_credits">Poeng!$R$76</definedName>
    <definedName name="LE04_tot">Poeng!$BF$76</definedName>
    <definedName name="LE04_user">Poeng!$W$76</definedName>
    <definedName name="LE05_14">Poeng!$T$77</definedName>
    <definedName name="LE05_15">Poeng!$U$77</definedName>
    <definedName name="LE05_credits">Poeng!$R$77</definedName>
    <definedName name="LE05_minstd">Poeng!$AS$77</definedName>
    <definedName name="LE05_minstdach">Poeng!$AS$77</definedName>
    <definedName name="LE05_tot">Poeng!$BF$77</definedName>
    <definedName name="LE05_user">Poeng!$W$77</definedName>
    <definedName name="LE06_contr">Poeng!$U$78</definedName>
    <definedName name="LE06_credits">Poeng!$R$78</definedName>
    <definedName name="LE06_minstd">Poeng!$AS$78</definedName>
    <definedName name="LE06_tot">Poeng!$BF$78</definedName>
    <definedName name="LE06_user">Poeng!$W$78</definedName>
    <definedName name="Lue_c_user">Poeng!$Y$79</definedName>
    <definedName name="Lue_d_user">Poeng!$X$79</definedName>
    <definedName name="Lue_tot_user">Poeng!$W$79</definedName>
    <definedName name="MAN">'Assessment Issue Scoring'!$B$10</definedName>
    <definedName name="Man_01">Poeng!$D$9</definedName>
    <definedName name="Man_02">Poeng!$D$10</definedName>
    <definedName name="Man_03">Poeng!$D$11</definedName>
    <definedName name="Man_04">Poeng!$D$12</definedName>
    <definedName name="Man_05">Poeng!$D$13</definedName>
    <definedName name="Man_06">Poeng!$D$14</definedName>
    <definedName name="Man_07">Poeng!$D$15</definedName>
    <definedName name="Man_c_user">Poeng!$Y$16</definedName>
    <definedName name="Man_cont_tot">Poeng!$U$16</definedName>
    <definedName name="Man_Credits">Poeng!$R$16</definedName>
    <definedName name="Man_d_user">Poeng!$X$16</definedName>
    <definedName name="Man_tot_user">Poeng!$W$16</definedName>
    <definedName name="Man01_37">Poeng!$AS$9</definedName>
    <definedName name="Man01_38">Poeng!$T$9</definedName>
    <definedName name="Man01_39">Poeng!$U$9</definedName>
    <definedName name="Man01_credits">Poeng!$R$9</definedName>
    <definedName name="Man01_Exemp">Poeng!$BG$9</definedName>
    <definedName name="Man01_Tot">Poeng!$BF$9</definedName>
    <definedName name="Man01_user">Poeng!$W$9</definedName>
    <definedName name="Man02_11">Poeng!$T$10</definedName>
    <definedName name="Man02_12">Poeng!$U$10</definedName>
    <definedName name="Man02_credits">Poeng!$R$10</definedName>
    <definedName name="Man02_Exempl">Poeng!$BG$10</definedName>
    <definedName name="Man02_minstd">Poeng!$AS$10</definedName>
    <definedName name="Man02_Tot">Poeng!$BF$10</definedName>
    <definedName name="Man02_user">Poeng!$W$10</definedName>
    <definedName name="Man03_12">Poeng!$T$11</definedName>
    <definedName name="Man03_18">Poeng!$U$11</definedName>
    <definedName name="Man03_credits">Poeng!$R$11</definedName>
    <definedName name="Man03_minstd">Poeng!$AS$11</definedName>
    <definedName name="Man03_Tot">Poeng!$BF$11</definedName>
    <definedName name="Man03_user">Poeng!$W$11</definedName>
    <definedName name="Man04_17">Poeng!$T$12</definedName>
    <definedName name="Man04_cont">Poeng!$U$12</definedName>
    <definedName name="Man04_credits">Poeng!$R$12</definedName>
    <definedName name="Man04_minstd">Poeng!$AS$12</definedName>
    <definedName name="Man04_tot">Poeng!$BF$12</definedName>
    <definedName name="Man04_user">Poeng!$W$12</definedName>
    <definedName name="Man05_10">Poeng!$T$13</definedName>
    <definedName name="Man05_cont">Poeng!$U$13</definedName>
    <definedName name="Man05_credits">Poeng!$R$13</definedName>
    <definedName name="Man05_minstd">Poeng!$AS$13</definedName>
    <definedName name="Man05_tot">Poeng!$BF$13</definedName>
    <definedName name="Man05_user">Poeng!$W$13</definedName>
    <definedName name="Man06_cont">Poeng!$U$14</definedName>
    <definedName name="Man06_credits">Poeng!$R$14</definedName>
    <definedName name="Man06_minstd">Poeng!$AS$14</definedName>
    <definedName name="Man06_user">Poeng!$W$14</definedName>
    <definedName name="Man07_cont">Poeng!$U$15</definedName>
    <definedName name="Man07_credits">Poeng!$R$15</definedName>
    <definedName name="Man07_minstd">Poeng!$AS$15</definedName>
    <definedName name="Man07_user">Poeng!$W$15</definedName>
    <definedName name="MAT">'Assessment Issue Scoring'!$B$864</definedName>
    <definedName name="Mat_01">Poeng!$D$60</definedName>
    <definedName name="Mat_03">Poeng!$D$61</definedName>
    <definedName name="Mat_05">Poeng!$D$62</definedName>
    <definedName name="Mat_06">Poeng!$D$63</definedName>
    <definedName name="Mat_c_user">Poeng!$Y$64</definedName>
    <definedName name="Mat_cont_tot">Poeng!$U$64</definedName>
    <definedName name="Mat_Credits">Poeng!$R$64</definedName>
    <definedName name="Mat_d_user">Poeng!$X$64</definedName>
    <definedName name="Mat_tot_user">Poeng!$W$64</definedName>
    <definedName name="Mat01_08">Poeng!$BG$60</definedName>
    <definedName name="Mat01_27">Poeng!$T$60</definedName>
    <definedName name="Mat01_28">Poeng!$U$60</definedName>
    <definedName name="Mat01_credits">Poeng!$R$60</definedName>
    <definedName name="Mat01_Crit1">Poeng!$D$103</definedName>
    <definedName name="Mat01_Crit1_cont">Poeng!$U$103</definedName>
    <definedName name="Mat01_Crit1_credits">Poeng!$R$103</definedName>
    <definedName name="Mat01_minstd">Poeng!$AS$103</definedName>
    <definedName name="Mat01_tot">Poeng!$BF$60</definedName>
    <definedName name="Mat01_user">Poeng!$W$60</definedName>
    <definedName name="Mat03_35">Poeng!$BG$61</definedName>
    <definedName name="Mat03_36">Poeng!$AS$61</definedName>
    <definedName name="Mat03_37">Poeng!$T$61</definedName>
    <definedName name="Mat03_38">Poeng!$U$61</definedName>
    <definedName name="Mat03_credits">Poeng!$R$61</definedName>
    <definedName name="Mat03_Crit1">Poeng!$D$104</definedName>
    <definedName name="Mat03_Crit1_cont">Poeng!$U$104</definedName>
    <definedName name="Mat03_Crit1_credits">Poeng!$R$104</definedName>
    <definedName name="Mat03_minstd">Poeng!$AS$104</definedName>
    <definedName name="Mat03_tot">Poeng!$BF$61</definedName>
    <definedName name="Mat03_user">Poeng!$W$61</definedName>
    <definedName name="Mat05_05">Poeng!$T$62</definedName>
    <definedName name="Mat05_06">Poeng!$U$62</definedName>
    <definedName name="Mat05_credits">Poeng!$R$62</definedName>
    <definedName name="Mat05_minstd">Poeng!$AS$62</definedName>
    <definedName name="Mat05_tot">Poeng!$BF$62</definedName>
    <definedName name="Mat05_user">Poeng!$W$62</definedName>
    <definedName name="Mat06_cont">Poeng!$U$63</definedName>
    <definedName name="Mat06_credits">Poeng!$R$63</definedName>
    <definedName name="Mat06_minstd">Poeng!$AS$63</definedName>
    <definedName name="Mat06_user">Poeng!$W$63</definedName>
    <definedName name="Min_Ex_Ref">Sheet3!$I$3</definedName>
    <definedName name="Min_Gd_Ref">Sheet3!$I$5</definedName>
    <definedName name="Min_No_Ref">Sheet3!$I$7</definedName>
    <definedName name="Min_Out_Ref">Sheet3!$I$2</definedName>
    <definedName name="Min_Pas_Ref">Sheet3!$I$6</definedName>
    <definedName name="Min_VG_Ref">Sheet3!$I$4</definedName>
    <definedName name="MinSt_01">Sheet3!$R$3</definedName>
    <definedName name="MinSt_02">Sheet3!$R$4</definedName>
    <definedName name="MinSt_03">Sheet3!$R$5</definedName>
    <definedName name="MinSt_04">Sheet3!$R$6</definedName>
    <definedName name="MinSt_05">Sheet3!$R$7</definedName>
    <definedName name="MinSt_06">Sheet3!$R$9</definedName>
    <definedName name="MinSt_07">Sheet3!$R$11</definedName>
    <definedName name="MinSt_08">Sheet3!$R$12</definedName>
    <definedName name="MinSt_09">Sheet3!$R$13</definedName>
    <definedName name="MinSt_10">Sheet3!$R$14</definedName>
    <definedName name="MinSt_11">Sheet3!$R$15</definedName>
    <definedName name="MinSt_12">Sheet3!$R$16</definedName>
    <definedName name="MinSt_13">Sheet3!$R$17</definedName>
    <definedName name="MinSt_14">Sheet3!$R$18</definedName>
    <definedName name="MinSt_15">Sheet3!$R$8</definedName>
    <definedName name="MinSt_16">Sheet3!$R$10</definedName>
    <definedName name="Note_minstand">Poeng!$AS$115</definedName>
    <definedName name="Note_minstand_const">Poeng!$AY$115</definedName>
    <definedName name="Note_minstand_design">Poeng!$AV$115</definedName>
    <definedName name="Poeng_bort">Poeng!$Q$106</definedName>
    <definedName name="Poeng_tilgj">Poeng!$R$106</definedName>
    <definedName name="Poeng_tot">Poeng!$K$106</definedName>
    <definedName name="POL">'Assessment Issue Scoring'!$B$1180</definedName>
    <definedName name="Pol_01">Poeng!$D$82</definedName>
    <definedName name="Pol_02">Poeng!$D$83</definedName>
    <definedName name="Pol_03">Poeng!$D$84</definedName>
    <definedName name="Pol_04">Poeng!$D$85</definedName>
    <definedName name="Pol_05">Poeng!$D$86</definedName>
    <definedName name="Pol_c_user">Poeng!$Y$87</definedName>
    <definedName name="Pol_cont_tot">Poeng!$U$87</definedName>
    <definedName name="Pol_Credits">Poeng!$R$87</definedName>
    <definedName name="Pol_d_user">Poeng!$X$87</definedName>
    <definedName name="Pol_tot_user">Poeng!$W$87</definedName>
    <definedName name="Pol_Weight">'Assessment Rating &amp; KPIs'!$F$40</definedName>
    <definedName name="Pol01_19">Poeng!$T$82</definedName>
    <definedName name="Pol01_20">Poeng!$U$82</definedName>
    <definedName name="Pol01_credits">Poeng!$R$82</definedName>
    <definedName name="Pol01_minstd">Poeng!$AS$82</definedName>
    <definedName name="Pol01_tot">Poeng!$BF$82</definedName>
    <definedName name="Pol01_user">Poeng!$W$82</definedName>
    <definedName name="Pol02_23">'Assessment Issue Scoring'!$H$1220</definedName>
    <definedName name="Pol02_26">Poeng!$T$83</definedName>
    <definedName name="Pol02_27">Poeng!$U$83</definedName>
    <definedName name="Pol02_credits">Poeng!$R$83</definedName>
    <definedName name="Pol02_minstd">Poeng!$AS$83</definedName>
    <definedName name="Pol02_tot">Poeng!$BF$83</definedName>
    <definedName name="Pol02_user">Poeng!$W$83</definedName>
    <definedName name="Pol03_14">Poeng!$T$84</definedName>
    <definedName name="Pol03_15">Poeng!$U$84</definedName>
    <definedName name="Pol03_credits">Poeng!$R$84</definedName>
    <definedName name="Pol03_minstd">Poeng!$AS$84</definedName>
    <definedName name="Pol03_tot">Poeng!$BF$84</definedName>
    <definedName name="Pol03_user">Poeng!$W$84</definedName>
    <definedName name="Pol04_05">Poeng!$T$85</definedName>
    <definedName name="Pol04_06">Poeng!$U$85</definedName>
    <definedName name="Pol04_credits">Poeng!$R$85</definedName>
    <definedName name="Pol04_minstd">Poeng!$AS$85</definedName>
    <definedName name="Pol04_tot">Poeng!$BF$85</definedName>
    <definedName name="Pol04_user">Poeng!$W$85</definedName>
    <definedName name="Pol05_10">Poeng!$T$86</definedName>
    <definedName name="Pol05_11">Poeng!$U$86</definedName>
    <definedName name="Pol05_credits">Poeng!$R$86</definedName>
    <definedName name="Pol05_minstd">Poeng!$AS$86</definedName>
    <definedName name="Pol05_tot">Poeng!$BF$86</definedName>
    <definedName name="Pol05_user">Poeng!$W$86</definedName>
    <definedName name="_xlnm.Print_Area" localSheetId="2">'Assessment Details'!$B$2:$F$54</definedName>
    <definedName name="_xlnm.Print_Area" localSheetId="3">'Assessment Issue Scoring'!$B$1:$H$1335</definedName>
    <definedName name="_xlnm.Print_Area" localSheetId="6">'Assessment Rating &amp; KPIs'!$B$2:$M$117,'Assessment Rating &amp; KPIs'!$B$128:$K$162</definedName>
    <definedName name="_xlnm.Print_Area" localSheetId="7">'Assessment References'!$B$2:$F$306</definedName>
    <definedName name="_xlnm.Print_Area" localSheetId="0">Instructions!$B$2:$P$16</definedName>
    <definedName name="_xlnm.Print_Area" localSheetId="1">'Pre-Assessment Estimator'!$C$1:$W$98</definedName>
    <definedName name="_xlnm.Print_Area" localSheetId="8">'Version Control'!$B$2:$P$24</definedName>
    <definedName name="_xlnm.Print_Titles" localSheetId="1">'Pre-Assessment Estimator'!$8:$8</definedName>
    <definedName name="projecttype">'Assessment Details'!$M$98</definedName>
    <definedName name="Score_const">'Assessment Rating &amp; KPIs'!$M$42</definedName>
    <definedName name="Score_design">'Assessment Rating &amp; KPIs'!$L$42</definedName>
    <definedName name="Score_Initial">'Assessment Rating &amp; KPIs'!$G$42</definedName>
    <definedName name="TRA">'Assessment Issue Scoring'!$B$631</definedName>
    <definedName name="Tra_01">Poeng!$D$44</definedName>
    <definedName name="Tra_02">Poeng!$D$45</definedName>
    <definedName name="Tra_03">Poeng!$D$46</definedName>
    <definedName name="Tra_04">Poeng!$D$47</definedName>
    <definedName name="Tra_05">Poeng!$D$48</definedName>
    <definedName name="Tra_c_user">Poeng!$Y$50</definedName>
    <definedName name="Tra_cont_tot">Poeng!$U$50</definedName>
    <definedName name="Tra_Credits">Poeng!$R$50</definedName>
    <definedName name="Tra_d_user">Poeng!$X$50</definedName>
    <definedName name="Tra_tot_user">Poeng!$W$50</definedName>
    <definedName name="Tra01_07">Poeng!$T$44</definedName>
    <definedName name="TRa01_08">Poeng!$U$44</definedName>
    <definedName name="TRA01_BuildType">'Assessment Details'!$L$24:$L$30</definedName>
    <definedName name="TRA01_BuildType_KOPI">'Assessment Details'!$L$24:$L$30</definedName>
    <definedName name="Tra01_credits">Poeng!$R$44</definedName>
    <definedName name="Tra01_minstd">Poeng!$AS$44</definedName>
    <definedName name="Tra01_tot">Poeng!$BF$44</definedName>
    <definedName name="Tra01_type7">'Assessment Details'!$L$30</definedName>
    <definedName name="Tra01_user">Poeng!$W$44</definedName>
    <definedName name="Tra02_06">Poeng!$T$45</definedName>
    <definedName name="Tra02_07">Poeng!$U$45</definedName>
    <definedName name="Tra02_credits">Poeng!$R$45</definedName>
    <definedName name="Tra02_minstd">Poeng!$AS$45</definedName>
    <definedName name="Tra02_tot">Poeng!$BF$45</definedName>
    <definedName name="Tra02_user">Poeng!$W$45</definedName>
    <definedName name="Tra03_01">Options!$U$83</definedName>
    <definedName name="Tra03_02">'Assessment Details'!$M$64:$M$64</definedName>
    <definedName name="Tra03_02_KOPI">'Assessment Details'!$M$64:$M$64</definedName>
    <definedName name="Tra03_13">Poeng!$T$46</definedName>
    <definedName name="Tra03_14">Poeng!$U$46</definedName>
    <definedName name="Tra03_credits">Poeng!$R$46</definedName>
    <definedName name="Tra03_minstd">Poeng!$AS$46</definedName>
    <definedName name="Tra03_tot">Poeng!$BF$46</definedName>
    <definedName name="Tra03_user">Poeng!$W$46</definedName>
    <definedName name="Tra04_09">Poeng!$T$47</definedName>
    <definedName name="Tra04_10">Poeng!$U$47</definedName>
    <definedName name="Tra04_credits">Poeng!$R$47</definedName>
    <definedName name="Tra04_minstd">Poeng!$AS$47</definedName>
    <definedName name="Tra04_tot">Poeng!$BF$47</definedName>
    <definedName name="Tra04_user">Poeng!$W$47</definedName>
    <definedName name="Tra05_04">Poeng!$T$48</definedName>
    <definedName name="Tra05_05">Poeng!$U$48</definedName>
    <definedName name="Tra05_credits">Poeng!$R$48</definedName>
    <definedName name="Tra05_minstd">Poeng!$AS$48</definedName>
    <definedName name="Tra05_tot">Poeng!$BF$48</definedName>
    <definedName name="Tra05_user">Poeng!$W$48</definedName>
    <definedName name="Tra06_04">Poeng!$T$49</definedName>
    <definedName name="Tra06_05">Poeng!$U$49</definedName>
    <definedName name="Tra06_credits">Poeng!$R$49</definedName>
    <definedName name="Tra06_user">Poeng!$W$49</definedName>
    <definedName name="TVC_current_date">'Version Control'!$C$5</definedName>
    <definedName name="TVC_current_version">'Version Control'!$B$5</definedName>
    <definedName name="WAT">'Assessment Issue Scoring'!$B$764</definedName>
    <definedName name="Wat__Credits">Poeng!$R$57</definedName>
    <definedName name="Wat_01">Poeng!$D$53</definedName>
    <definedName name="Wat_02">Poeng!$D$54</definedName>
    <definedName name="Wat_03">Poeng!$D$55</definedName>
    <definedName name="Wat_04">Poeng!$D$56</definedName>
    <definedName name="Wat_c_user">Poeng!$Y$57</definedName>
    <definedName name="Wat_cont_tot">Poeng!$U$57</definedName>
    <definedName name="Wat_Credits">Poeng!$R$57</definedName>
    <definedName name="Wat_d_user">Poeng!$X$57</definedName>
    <definedName name="Wat_tot_user">Poeng!$W$57</definedName>
    <definedName name="Wat01_08">Poeng!$BG$53</definedName>
    <definedName name="Wat01_09">Poeng!$AS$53</definedName>
    <definedName name="Wat01_14">Poeng!$T$53</definedName>
    <definedName name="Wat01_15">Poeng!$U$53</definedName>
    <definedName name="Wat01_credits">Poeng!$R$53</definedName>
    <definedName name="Wat01_minstd">Poeng!$AS$53</definedName>
    <definedName name="Wat01_tot">Poeng!$BF$53</definedName>
    <definedName name="Wat01_user">Poeng!$W$53</definedName>
    <definedName name="Wat02_10">Poeng!$BG$54</definedName>
    <definedName name="Wat02_11">Poeng!$AS$54</definedName>
    <definedName name="Wat02_12">Poeng!$T$54</definedName>
    <definedName name="Wat02_13">Poeng!$U$54</definedName>
    <definedName name="Wat02_credits">Poeng!$R$54</definedName>
    <definedName name="Wat02_tot">Poeng!$BF$54</definedName>
    <definedName name="Wat02_user">Poeng!$W$54</definedName>
    <definedName name="Wat03_09">Poeng!$T$55</definedName>
    <definedName name="Wat03_10">Poeng!$U$55</definedName>
    <definedName name="Wat03_credits">Poeng!$R$55</definedName>
    <definedName name="Wat03_minstd">Poeng!$AS$55</definedName>
    <definedName name="Wat03_tot">Poeng!$BF$55</definedName>
    <definedName name="Wat03_user">Poeng!$W$55</definedName>
    <definedName name="Wat04_05">Poeng!$T$56</definedName>
    <definedName name="Wat04_06">Poeng!$U$56</definedName>
    <definedName name="Wat04_credits">Poeng!$R$56</definedName>
    <definedName name="Wat04_minstd">Poeng!$AS$56</definedName>
    <definedName name="Wat04_tot">Poeng!$BF$56</definedName>
    <definedName name="Wat04_user">Poeng!$W$56</definedName>
    <definedName name="WST">'Assessment Issue Scoring'!$B$960</definedName>
    <definedName name="Wst_01">Poeng!$D$67</definedName>
    <definedName name="Wst_02">Poeng!$D$68</definedName>
    <definedName name="Wst_03">Poeng!$D$69</definedName>
    <definedName name="Wst_04">Poeng!$D$70</definedName>
    <definedName name="Wst_c_user">Poeng!$Y$71</definedName>
    <definedName name="Wst_cont_tot">Poeng!$U$71</definedName>
    <definedName name="Wst_Credits">Poeng!$R$71</definedName>
    <definedName name="Wst_d_user">Poeng!$X$71</definedName>
    <definedName name="Wst_tot_user">Poeng!$W$71</definedName>
    <definedName name="Wst01_17">Poeng!$BG$67</definedName>
    <definedName name="Wst01_18">Poeng!$AS$67</definedName>
    <definedName name="Wst01_27">Poeng!$T$67</definedName>
    <definedName name="Wst01_28">Poeng!$U$67</definedName>
    <definedName name="Wst01_credits">Poeng!$R$67</definedName>
    <definedName name="Wst01_tot">Poeng!$BF$67</definedName>
    <definedName name="Wst01_user">Poeng!$W$67</definedName>
    <definedName name="Wst02_11">Poeng!$BG$68</definedName>
    <definedName name="Wst02_14">Poeng!$T$68</definedName>
    <definedName name="Wst02_15">Poeng!$U$68</definedName>
    <definedName name="Wst02_credits">Poeng!$R$68</definedName>
    <definedName name="Wst02_minstd">Poeng!$AS$68</definedName>
    <definedName name="Wst02_tot">Poeng!$BF$68</definedName>
    <definedName name="Wst02_user">Poeng!$W$68</definedName>
    <definedName name="Wst03_09">Poeng!$BG$69</definedName>
    <definedName name="Wst03_10">Poeng!$AS$69</definedName>
    <definedName name="Wst03_12">Poeng!$T$69</definedName>
    <definedName name="Wst03_13">Poeng!$U$69</definedName>
    <definedName name="Wst03_credits">Poeng!$R$69</definedName>
    <definedName name="Wst03_tot">Poeng!$BF$69</definedName>
    <definedName name="Wst03_user">Poeng!$W$69</definedName>
    <definedName name="Wst04_08">Poeng!$T$70</definedName>
    <definedName name="Wst04_09">Poeng!$U$70</definedName>
    <definedName name="Wst04_credits">Poeng!$R$70</definedName>
    <definedName name="Wst04_minstd">Poeng!$AS$70</definedName>
    <definedName name="Wst04_tot">Poeng!$BF$70</definedName>
    <definedName name="Wst04_user">Poeng!$W$70</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I414" i="19" l="1"/>
  <c r="G414" i="19"/>
  <c r="AI413" i="19"/>
  <c r="AI412" i="19"/>
  <c r="AI415" i="19" s="1"/>
  <c r="Y32" i="13" s="1"/>
  <c r="W1292" i="19"/>
  <c r="W1271" i="19"/>
  <c r="W1220" i="19"/>
  <c r="W1194" i="19"/>
  <c r="W1191" i="19"/>
  <c r="W945" i="19"/>
  <c r="W829" i="19"/>
  <c r="W805" i="19"/>
  <c r="W591" i="19"/>
  <c r="W570" i="19"/>
  <c r="W482" i="19"/>
  <c r="W481" i="19"/>
  <c r="W480" i="19"/>
  <c r="W438" i="19"/>
  <c r="W413" i="19"/>
  <c r="W412" i="19"/>
  <c r="W256" i="19"/>
  <c r="W232" i="19"/>
  <c r="W231" i="19"/>
  <c r="W200" i="19"/>
  <c r="AF200" i="19"/>
  <c r="K134" i="11" s="1"/>
  <c r="C134" i="11"/>
  <c r="B134" i="11"/>
  <c r="AD200" i="19"/>
  <c r="W178" i="19"/>
  <c r="W177" i="19"/>
  <c r="R9" i="19" l="1"/>
  <c r="P9" i="19"/>
  <c r="AF611" i="19" l="1"/>
  <c r="AE611" i="19"/>
  <c r="AD611" i="19"/>
  <c r="AF414" i="19"/>
  <c r="AE414" i="19"/>
  <c r="AD414" i="19"/>
  <c r="AE1271" i="19" l="1"/>
  <c r="AE1220" i="19"/>
  <c r="C160" i="11" s="1"/>
  <c r="AE945" i="19"/>
  <c r="C156" i="11" s="1"/>
  <c r="AE805" i="19"/>
  <c r="C153" i="11" s="1"/>
  <c r="AE771" i="19"/>
  <c r="AE591" i="19"/>
  <c r="C150" i="11" s="1"/>
  <c r="AE570" i="19"/>
  <c r="C149" i="11" s="1"/>
  <c r="AE438" i="19"/>
  <c r="C142" i="11" s="1"/>
  <c r="AE387" i="19"/>
  <c r="C139" i="11" s="1"/>
  <c r="AE256" i="19"/>
  <c r="C137" i="11" s="1"/>
  <c r="C133" i="11"/>
  <c r="C152" i="11"/>
  <c r="C158" i="11"/>
  <c r="C159" i="11"/>
  <c r="C161" i="11"/>
  <c r="C162" i="11"/>
  <c r="C132" i="11"/>
  <c r="C131" i="11"/>
  <c r="AF256" i="19"/>
  <c r="K137" i="11" s="1"/>
  <c r="AD256" i="19"/>
  <c r="B137" i="11" s="1"/>
  <c r="Z256" i="19"/>
  <c r="AF232" i="19"/>
  <c r="K136" i="11" s="1"/>
  <c r="AE232" i="19"/>
  <c r="C136" i="11" s="1"/>
  <c r="AD232" i="19"/>
  <c r="B136" i="11" s="1"/>
  <c r="Z232" i="19"/>
  <c r="AE231" i="19"/>
  <c r="C135" i="11" s="1"/>
  <c r="AF231" i="19"/>
  <c r="K135" i="11" s="1"/>
  <c r="AD231" i="19"/>
  <c r="B135" i="11" s="1"/>
  <c r="Z231" i="19"/>
  <c r="Z199" i="19"/>
  <c r="AF199" i="19"/>
  <c r="K133" i="11" s="1"/>
  <c r="AD199" i="19"/>
  <c r="B133" i="11" s="1"/>
  <c r="AF177" i="19"/>
  <c r="K131" i="11" s="1"/>
  <c r="AD177" i="19"/>
  <c r="B131" i="11" s="1"/>
  <c r="AF178" i="19"/>
  <c r="K132" i="11" s="1"/>
  <c r="AD178" i="19"/>
  <c r="B132" i="11" s="1"/>
  <c r="AF829" i="19"/>
  <c r="K154" i="11" s="1"/>
  <c r="AE829" i="19"/>
  <c r="C154" i="11" s="1"/>
  <c r="AD829" i="19"/>
  <c r="B154" i="11" s="1"/>
  <c r="Z829" i="19"/>
  <c r="AF805" i="19"/>
  <c r="K153" i="11" s="1"/>
  <c r="AD805" i="19"/>
  <c r="B153" i="11" s="1"/>
  <c r="Z805" i="19"/>
  <c r="AF771" i="19"/>
  <c r="K152" i="11" s="1"/>
  <c r="AD771" i="19"/>
  <c r="B152" i="11" s="1"/>
  <c r="Z771" i="19"/>
  <c r="AF591" i="19"/>
  <c r="K150" i="11" s="1"/>
  <c r="AD591" i="19"/>
  <c r="B150" i="11" s="1"/>
  <c r="Z591" i="19"/>
  <c r="AF570" i="19"/>
  <c r="K149" i="11" s="1"/>
  <c r="AD570" i="19"/>
  <c r="B149" i="11" s="1"/>
  <c r="Z570" i="19"/>
  <c r="AF503" i="19"/>
  <c r="K148" i="11" s="1"/>
  <c r="AE503" i="19"/>
  <c r="C148" i="11" s="1"/>
  <c r="AD503" i="19"/>
  <c r="B148" i="11" s="1"/>
  <c r="Z503" i="19"/>
  <c r="AF502" i="19"/>
  <c r="K147" i="11" s="1"/>
  <c r="AE502" i="19"/>
  <c r="C147" i="11" s="1"/>
  <c r="AD502" i="19"/>
  <c r="B147" i="11" s="1"/>
  <c r="Z502" i="19"/>
  <c r="AF482" i="19"/>
  <c r="K146" i="11" s="1"/>
  <c r="AE482" i="19"/>
  <c r="C146" i="11" s="1"/>
  <c r="AD482" i="19"/>
  <c r="B146" i="11" s="1"/>
  <c r="Z482" i="19"/>
  <c r="AF481" i="19"/>
  <c r="K145" i="11" s="1"/>
  <c r="AE481" i="19"/>
  <c r="C145" i="11" s="1"/>
  <c r="AD481" i="19"/>
  <c r="B145" i="11" s="1"/>
  <c r="Z481" i="19"/>
  <c r="AF480" i="19"/>
  <c r="K144" i="11" s="1"/>
  <c r="AE480" i="19"/>
  <c r="C144" i="11" s="1"/>
  <c r="AD480" i="19"/>
  <c r="B144" i="11" s="1"/>
  <c r="Z480" i="19"/>
  <c r="AF459" i="19"/>
  <c r="K143" i="11" s="1"/>
  <c r="AE459" i="19"/>
  <c r="C143" i="11" s="1"/>
  <c r="AD459" i="19"/>
  <c r="B143" i="11" s="1"/>
  <c r="Z459" i="19"/>
  <c r="Z438" i="19" l="1"/>
  <c r="AF438" i="19"/>
  <c r="K142" i="11" s="1"/>
  <c r="AD438" i="19"/>
  <c r="B142" i="11" s="1"/>
  <c r="AF413" i="19"/>
  <c r="K141" i="11" s="1"/>
  <c r="AE413" i="19"/>
  <c r="C141" i="11" s="1"/>
  <c r="AD413" i="19"/>
  <c r="B141" i="11" s="1"/>
  <c r="AF412" i="19"/>
  <c r="K140" i="11" s="1"/>
  <c r="AE412" i="19"/>
  <c r="C140" i="11" s="1"/>
  <c r="AD412" i="19"/>
  <c r="B140" i="11" s="1"/>
  <c r="AF387" i="19"/>
  <c r="K139" i="11" s="1"/>
  <c r="AD387" i="19"/>
  <c r="B139" i="11" s="1"/>
  <c r="AF1292" i="19"/>
  <c r="K162" i="11" s="1"/>
  <c r="AD1292" i="19"/>
  <c r="B162" i="11" s="1"/>
  <c r="G1046" i="19"/>
  <c r="AF1271" i="19"/>
  <c r="K161" i="11" s="1"/>
  <c r="AD1271" i="19"/>
  <c r="B161" i="11" s="1"/>
  <c r="AF1220" i="19"/>
  <c r="K160" i="11" s="1"/>
  <c r="AD1220" i="19"/>
  <c r="B160" i="11" s="1"/>
  <c r="AD1194" i="19" l="1"/>
  <c r="B159" i="11" s="1"/>
  <c r="AD1191" i="19"/>
  <c r="B158" i="11" s="1"/>
  <c r="AF1191" i="19"/>
  <c r="K158" i="11" s="1"/>
  <c r="AF1194" i="19"/>
  <c r="K159" i="11" s="1"/>
  <c r="AF945" i="19"/>
  <c r="K156" i="11" s="1"/>
  <c r="AD945" i="19"/>
  <c r="B156" i="11" s="1"/>
  <c r="T4" i="19" l="1"/>
  <c r="S9" i="19"/>
  <c r="R177" i="19" l="1"/>
  <c r="R200" i="19"/>
  <c r="T200" i="19"/>
  <c r="S200" i="19"/>
  <c r="T611" i="19"/>
  <c r="S611" i="19"/>
  <c r="R611" i="19"/>
  <c r="S414" i="19"/>
  <c r="R414" i="19"/>
  <c r="T414" i="19"/>
  <c r="K128" i="11"/>
  <c r="T177" i="19"/>
  <c r="U1071" i="19"/>
  <c r="R805" i="19"/>
  <c r="U526" i="19"/>
  <c r="U48" i="19"/>
  <c r="U83" i="19"/>
  <c r="U19" i="19"/>
  <c r="T232" i="19"/>
  <c r="S177" i="19"/>
  <c r="R178" i="19"/>
  <c r="U341" i="19"/>
  <c r="R829" i="19"/>
  <c r="S805" i="19"/>
  <c r="U1247" i="19"/>
  <c r="U1068" i="19"/>
  <c r="U729" i="19"/>
  <c r="U640" i="19"/>
  <c r="T591" i="19"/>
  <c r="U153" i="19"/>
  <c r="U45" i="19"/>
  <c r="U80" i="19"/>
  <c r="U18" i="19"/>
  <c r="U1161" i="19"/>
  <c r="U152" i="19"/>
  <c r="U44" i="19"/>
  <c r="U79" i="19"/>
  <c r="U17" i="19"/>
  <c r="R232" i="19"/>
  <c r="S231" i="19"/>
  <c r="U176" i="19"/>
  <c r="U300" i="19"/>
  <c r="S771" i="19"/>
  <c r="U1134" i="19"/>
  <c r="U999" i="19"/>
  <c r="U686" i="19"/>
  <c r="R591" i="19"/>
  <c r="U175" i="19"/>
  <c r="U1046" i="19"/>
  <c r="U1019" i="19"/>
  <c r="U151" i="19"/>
  <c r="U41" i="19"/>
  <c r="U76" i="19"/>
  <c r="U279" i="19"/>
  <c r="R231" i="19"/>
  <c r="U207" i="19"/>
  <c r="U365" i="19"/>
  <c r="U299" i="19"/>
  <c r="R771" i="19"/>
  <c r="U1113" i="19"/>
  <c r="U978" i="19"/>
  <c r="U685" i="19"/>
  <c r="U1251" i="19"/>
  <c r="U1093" i="19"/>
  <c r="U914" i="19"/>
  <c r="U682" i="19"/>
  <c r="R199" i="19"/>
  <c r="T178" i="19"/>
  <c r="U828" i="19"/>
  <c r="U1091" i="19"/>
  <c r="U661" i="19"/>
  <c r="U128" i="19"/>
  <c r="U20" i="19"/>
  <c r="U198" i="19"/>
  <c r="U342" i="19"/>
  <c r="T805" i="19"/>
  <c r="U749" i="19"/>
  <c r="T231" i="19"/>
  <c r="U321" i="19"/>
  <c r="U709" i="19"/>
  <c r="U967" i="19"/>
  <c r="U150" i="19"/>
  <c r="U40" i="19"/>
  <c r="U73" i="19"/>
  <c r="U204" i="19"/>
  <c r="U206" i="19"/>
  <c r="T199" i="19"/>
  <c r="U364" i="19"/>
  <c r="S178" i="19"/>
  <c r="S829" i="19"/>
  <c r="U1248" i="19"/>
  <c r="U641" i="19"/>
  <c r="S232" i="19"/>
  <c r="T771" i="19"/>
  <c r="S591" i="19"/>
  <c r="U531" i="19"/>
  <c r="U130" i="19"/>
  <c r="U86" i="19"/>
  <c r="U72" i="19"/>
  <c r="T256" i="19"/>
  <c r="U203" i="19"/>
  <c r="U201" i="19"/>
  <c r="S199" i="19"/>
  <c r="U363" i="19"/>
  <c r="U1250" i="19"/>
  <c r="U1092" i="19"/>
  <c r="U871" i="19"/>
  <c r="U681" i="19"/>
  <c r="U530" i="19"/>
  <c r="U129" i="19"/>
  <c r="U85" i="19"/>
  <c r="U71" i="19"/>
  <c r="S256" i="19"/>
  <c r="U202" i="19"/>
  <c r="U362" i="19"/>
  <c r="T829" i="19"/>
  <c r="U1249" i="19"/>
  <c r="U849" i="19"/>
  <c r="U527" i="19"/>
  <c r="U84" i="19"/>
  <c r="R256" i="19"/>
  <c r="T481" i="19"/>
  <c r="T570" i="19"/>
  <c r="T503" i="19"/>
  <c r="R482" i="19"/>
  <c r="S481" i="19"/>
  <c r="S570" i="19"/>
  <c r="S503" i="19"/>
  <c r="R481" i="19"/>
  <c r="T480" i="19"/>
  <c r="T502" i="19"/>
  <c r="R570" i="19"/>
  <c r="R503" i="19"/>
  <c r="S480" i="19"/>
  <c r="S459" i="19"/>
  <c r="S502" i="19"/>
  <c r="R480" i="19"/>
  <c r="R502" i="19"/>
  <c r="S482" i="19"/>
  <c r="T459" i="19"/>
  <c r="T482" i="19"/>
  <c r="R459" i="19"/>
  <c r="T438" i="19"/>
  <c r="S413" i="19"/>
  <c r="S412" i="19"/>
  <c r="T412" i="19"/>
  <c r="S438" i="19"/>
  <c r="R413" i="19"/>
  <c r="R412" i="19"/>
  <c r="T387" i="19"/>
  <c r="R438" i="19"/>
  <c r="S387" i="19"/>
  <c r="T1292" i="19"/>
  <c r="R387" i="19"/>
  <c r="R1292" i="19"/>
  <c r="U417" i="19"/>
  <c r="S1292" i="19"/>
  <c r="T413" i="19"/>
  <c r="U418" i="19"/>
  <c r="T1271" i="19"/>
  <c r="S1271" i="19"/>
  <c r="R1271" i="19"/>
  <c r="S1220" i="19"/>
  <c r="R1220" i="19"/>
  <c r="T1220" i="19"/>
  <c r="T1191" i="19"/>
  <c r="S1191" i="19"/>
  <c r="R1191" i="19"/>
  <c r="R1194" i="19"/>
  <c r="T1194" i="19"/>
  <c r="S1194" i="19"/>
  <c r="R945" i="19"/>
  <c r="T945" i="19"/>
  <c r="S945" i="19"/>
  <c r="P2" i="8"/>
  <c r="F2" i="26"/>
  <c r="M2" i="11"/>
  <c r="H2" i="19"/>
  <c r="P2" i="12"/>
  <c r="U387" i="19" l="1"/>
  <c r="U200" i="19"/>
  <c r="U177" i="19"/>
  <c r="U414" i="19"/>
  <c r="U413" i="19"/>
  <c r="U412" i="19"/>
  <c r="U771" i="19"/>
  <c r="U611" i="19"/>
  <c r="U178" i="19"/>
  <c r="U199" i="19"/>
  <c r="U231" i="19"/>
  <c r="U232" i="19"/>
  <c r="U805" i="19"/>
  <c r="U570" i="19"/>
  <c r="U388" i="19"/>
  <c r="U459" i="19"/>
  <c r="U460" i="19" s="1"/>
  <c r="U503" i="19"/>
  <c r="U256" i="19"/>
  <c r="U257" i="19" s="1"/>
  <c r="U829" i="19"/>
  <c r="U1220" i="19"/>
  <c r="U945" i="19"/>
  <c r="U1292" i="19"/>
  <c r="U502" i="19"/>
  <c r="U438" i="19"/>
  <c r="U1271" i="19"/>
  <c r="G1222" i="19"/>
  <c r="G1223" i="19"/>
  <c r="G1224" i="19"/>
  <c r="G1225" i="19"/>
  <c r="G1226" i="19"/>
  <c r="G1221" i="19"/>
  <c r="AB200" i="19" l="1"/>
  <c r="U439" i="19"/>
  <c r="L282" i="19"/>
  <c r="D5" i="13"/>
  <c r="L24" i="13"/>
  <c r="L298" i="19"/>
  <c r="L273" i="19"/>
  <c r="L206" i="19"/>
  <c r="N380" i="19"/>
  <c r="J9" i="3"/>
  <c r="L274" i="19" s="1"/>
  <c r="N382" i="19"/>
  <c r="N210" i="19"/>
  <c r="L201" i="19"/>
  <c r="L181" i="19"/>
  <c r="N209" i="19"/>
  <c r="N208" i="19"/>
  <c r="N184" i="19"/>
  <c r="N185" i="19"/>
  <c r="N183" i="19"/>
  <c r="J8" i="3"/>
  <c r="J7" i="3"/>
  <c r="F8" i="13" s="1"/>
  <c r="J6" i="3"/>
  <c r="E8" i="13" s="1"/>
  <c r="S4" i="13"/>
  <c r="G23" i="16"/>
  <c r="P25" i="13" s="1"/>
  <c r="L25" i="13"/>
  <c r="J5" i="3"/>
  <c r="H8" i="13" s="1"/>
  <c r="H30" i="13" s="1"/>
  <c r="I8" i="13"/>
  <c r="I30" i="13" s="1"/>
  <c r="L699" i="19"/>
  <c r="P701" i="19" s="1"/>
  <c r="G686" i="19"/>
  <c r="G682" i="19"/>
  <c r="G685" i="19"/>
  <c r="G681" i="19"/>
  <c r="G1025" i="19"/>
  <c r="I67" i="16"/>
  <c r="L1034" i="19"/>
  <c r="L1035" i="19" s="1"/>
  <c r="G67" i="16"/>
  <c r="P69" i="13" s="1"/>
  <c r="L1016" i="19"/>
  <c r="I44" i="16"/>
  <c r="L409" i="19"/>
  <c r="L411" i="19" s="1"/>
  <c r="G417" i="19"/>
  <c r="G30" i="16"/>
  <c r="P32" i="13" s="1"/>
  <c r="G418" i="19"/>
  <c r="G90" i="16"/>
  <c r="P92" i="13" s="1"/>
  <c r="G44" i="16"/>
  <c r="P46" i="13"/>
  <c r="B4" i="26"/>
  <c r="E4" i="26"/>
  <c r="L6" i="11"/>
  <c r="M6" i="11"/>
  <c r="E54" i="3"/>
  <c r="D3" i="12"/>
  <c r="F200" i="19"/>
  <c r="AI200" i="19" s="1"/>
  <c r="G198" i="19"/>
  <c r="C54" i="3"/>
  <c r="L917" i="19"/>
  <c r="J99" i="11"/>
  <c r="E1188" i="19"/>
  <c r="F299" i="19"/>
  <c r="I90" i="16"/>
  <c r="I30" i="16"/>
  <c r="G300" i="19"/>
  <c r="G362" i="19"/>
  <c r="F364" i="19" s="1"/>
  <c r="G828" i="19"/>
  <c r="G978" i="19"/>
  <c r="G1068" i="19"/>
  <c r="G1091" i="19"/>
  <c r="G1249" i="19"/>
  <c r="G151" i="19"/>
  <c r="G153" i="19"/>
  <c r="E157" i="19" s="1"/>
  <c r="W90" i="13" s="1"/>
  <c r="G129" i="19"/>
  <c r="G44" i="19"/>
  <c r="G17" i="19"/>
  <c r="F2" i="3"/>
  <c r="P98" i="13"/>
  <c r="H86" i="16"/>
  <c r="H78" i="16"/>
  <c r="H70" i="16"/>
  <c r="H63" i="16"/>
  <c r="H56" i="16"/>
  <c r="H49" i="16"/>
  <c r="H40" i="16"/>
  <c r="H27" i="16"/>
  <c r="H15" i="16"/>
  <c r="G7" i="16"/>
  <c r="P9" i="13" s="1"/>
  <c r="G95" i="16"/>
  <c r="P97" i="13" s="1"/>
  <c r="G94" i="16"/>
  <c r="P96" i="13"/>
  <c r="G93" i="16"/>
  <c r="P95" i="13" s="1"/>
  <c r="G92" i="16"/>
  <c r="P94" i="13" s="1"/>
  <c r="G91" i="16"/>
  <c r="P93" i="13"/>
  <c r="G89" i="16"/>
  <c r="P91" i="13" s="1"/>
  <c r="G88" i="16"/>
  <c r="P90" i="13" s="1"/>
  <c r="G87" i="16"/>
  <c r="H87" i="16" s="1"/>
  <c r="G84" i="16"/>
  <c r="P86" i="13" s="1"/>
  <c r="G83" i="16"/>
  <c r="P85" i="13" s="1"/>
  <c r="G82" i="16"/>
  <c r="P84" i="13" s="1"/>
  <c r="G81" i="16"/>
  <c r="P83" i="13" s="1"/>
  <c r="G80" i="16"/>
  <c r="P82" i="13"/>
  <c r="G79" i="16"/>
  <c r="H79" i="16" s="1"/>
  <c r="G76" i="16"/>
  <c r="P78" i="13" s="1"/>
  <c r="G75" i="16"/>
  <c r="P77" i="13" s="1"/>
  <c r="G74" i="16"/>
  <c r="G73" i="16"/>
  <c r="P75" i="13" s="1"/>
  <c r="G72" i="16"/>
  <c r="P74" i="13" s="1"/>
  <c r="G71" i="16"/>
  <c r="H71" i="16" s="1"/>
  <c r="G68" i="16"/>
  <c r="P70" i="13" s="1"/>
  <c r="G66" i="16"/>
  <c r="P68" i="13" s="1"/>
  <c r="G65" i="16"/>
  <c r="P67" i="13" s="1"/>
  <c r="G64" i="16"/>
  <c r="H64" i="16" s="1"/>
  <c r="G61" i="16"/>
  <c r="G60" i="16"/>
  <c r="G59" i="16"/>
  <c r="P61" i="13" s="1"/>
  <c r="G58" i="16"/>
  <c r="P60" i="13" s="1"/>
  <c r="G57" i="16"/>
  <c r="H57" i="16" s="1"/>
  <c r="G54" i="16"/>
  <c r="G53" i="16"/>
  <c r="P55" i="13"/>
  <c r="G52" i="16"/>
  <c r="P54" i="13" s="1"/>
  <c r="G51" i="16"/>
  <c r="G50" i="16"/>
  <c r="H50" i="16" s="1"/>
  <c r="G47" i="16"/>
  <c r="P49" i="13" s="1"/>
  <c r="G46" i="16"/>
  <c r="P48" i="13"/>
  <c r="G45" i="16"/>
  <c r="P47" i="13" s="1"/>
  <c r="G43" i="16"/>
  <c r="G42" i="16"/>
  <c r="P44" i="13" s="1"/>
  <c r="G41" i="16"/>
  <c r="H41" i="16" s="1"/>
  <c r="G38" i="16"/>
  <c r="P40" i="13" s="1"/>
  <c r="G37" i="16"/>
  <c r="P39" i="13" s="1"/>
  <c r="G36" i="16"/>
  <c r="P38" i="13"/>
  <c r="G35" i="16"/>
  <c r="P37" i="13" s="1"/>
  <c r="G34" i="16"/>
  <c r="P36" i="13"/>
  <c r="G33" i="16"/>
  <c r="G32" i="16"/>
  <c r="P34" i="13" s="1"/>
  <c r="G31" i="16"/>
  <c r="P33" i="13" s="1"/>
  <c r="G29" i="16"/>
  <c r="P31" i="13" s="1"/>
  <c r="G28" i="16"/>
  <c r="H28" i="16" s="1"/>
  <c r="G25" i="16"/>
  <c r="P27" i="13" s="1"/>
  <c r="G24" i="16"/>
  <c r="P26" i="13" s="1"/>
  <c r="G22" i="16"/>
  <c r="P24" i="13" s="1"/>
  <c r="G21" i="16"/>
  <c r="P23" i="13" s="1"/>
  <c r="G20" i="16"/>
  <c r="P22" i="13" s="1"/>
  <c r="G19" i="16"/>
  <c r="P21" i="13" s="1"/>
  <c r="G18" i="16"/>
  <c r="P20" i="13" s="1"/>
  <c r="G17" i="16"/>
  <c r="G16" i="16"/>
  <c r="H16" i="16" s="1"/>
  <c r="G13" i="16"/>
  <c r="G12" i="16"/>
  <c r="G11" i="16"/>
  <c r="P13" i="13" s="1"/>
  <c r="G10" i="16"/>
  <c r="P12" i="13"/>
  <c r="G9" i="16"/>
  <c r="P11" i="13" s="1"/>
  <c r="G8" i="16"/>
  <c r="N7" i="16"/>
  <c r="N8" i="16"/>
  <c r="N9" i="16"/>
  <c r="N10" i="16"/>
  <c r="N11" i="16"/>
  <c r="N12" i="16"/>
  <c r="N13" i="16"/>
  <c r="N14" i="16"/>
  <c r="N15" i="16"/>
  <c r="N16" i="16"/>
  <c r="N17" i="16"/>
  <c r="N18" i="16"/>
  <c r="N19" i="16"/>
  <c r="N20" i="16"/>
  <c r="N21" i="16"/>
  <c r="N22" i="16"/>
  <c r="N23" i="16"/>
  <c r="N24" i="16"/>
  <c r="N25" i="16"/>
  <c r="N26" i="16"/>
  <c r="N27" i="16"/>
  <c r="N28" i="16"/>
  <c r="N29" i="16"/>
  <c r="N30" i="16"/>
  <c r="N31" i="16"/>
  <c r="N32" i="16"/>
  <c r="N33" i="16"/>
  <c r="N34" i="16"/>
  <c r="N35" i="16"/>
  <c r="N36" i="16"/>
  <c r="N37" i="16"/>
  <c r="N38" i="16"/>
  <c r="N39" i="16"/>
  <c r="N40" i="16"/>
  <c r="N41" i="16"/>
  <c r="N42" i="16"/>
  <c r="N43" i="16"/>
  <c r="N44" i="16"/>
  <c r="N45" i="16"/>
  <c r="N46" i="16"/>
  <c r="N47" i="16"/>
  <c r="N48" i="16"/>
  <c r="N49" i="16"/>
  <c r="N50" i="16"/>
  <c r="N51" i="16"/>
  <c r="N52" i="16"/>
  <c r="N53" i="16"/>
  <c r="N54" i="16"/>
  <c r="N55" i="16"/>
  <c r="N56" i="16"/>
  <c r="N57" i="16"/>
  <c r="N58" i="16"/>
  <c r="N59" i="16"/>
  <c r="N60" i="16"/>
  <c r="N61" i="16"/>
  <c r="N62" i="16"/>
  <c r="N63" i="16"/>
  <c r="N64" i="16"/>
  <c r="N65" i="16"/>
  <c r="N66" i="16"/>
  <c r="N67" i="16"/>
  <c r="N68" i="16"/>
  <c r="N69" i="16"/>
  <c r="N70" i="16"/>
  <c r="N71" i="16"/>
  <c r="N72" i="16"/>
  <c r="N73" i="16"/>
  <c r="N74" i="16"/>
  <c r="N75" i="16"/>
  <c r="N76" i="16"/>
  <c r="N77" i="16"/>
  <c r="N78" i="16"/>
  <c r="N79" i="16"/>
  <c r="N80" i="16"/>
  <c r="N81" i="16"/>
  <c r="N82" i="16"/>
  <c r="N83" i="16"/>
  <c r="N84" i="16"/>
  <c r="N85" i="16"/>
  <c r="N86" i="16"/>
  <c r="N87" i="16"/>
  <c r="N88" i="16"/>
  <c r="N89" i="16"/>
  <c r="N90" i="16"/>
  <c r="N91" i="16"/>
  <c r="N92" i="16"/>
  <c r="N6" i="16"/>
  <c r="S98" i="16"/>
  <c r="P53" i="13"/>
  <c r="H307" i="26"/>
  <c r="I307" i="26"/>
  <c r="J307" i="26"/>
  <c r="K307" i="26"/>
  <c r="L307" i="26"/>
  <c r="M307" i="26"/>
  <c r="N307" i="26"/>
  <c r="O307" i="26"/>
  <c r="P307" i="26"/>
  <c r="Q307" i="26"/>
  <c r="R307" i="26"/>
  <c r="S307" i="26"/>
  <c r="T307" i="26"/>
  <c r="U307" i="26"/>
  <c r="V307" i="26"/>
  <c r="W307" i="26"/>
  <c r="X307" i="26"/>
  <c r="Y307" i="26"/>
  <c r="Z307" i="26"/>
  <c r="AA307" i="26"/>
  <c r="AB307" i="26"/>
  <c r="AC307" i="26"/>
  <c r="AD307" i="26"/>
  <c r="AE307" i="26"/>
  <c r="AF307" i="26"/>
  <c r="AG307" i="26"/>
  <c r="AH307" i="26"/>
  <c r="AI307" i="26"/>
  <c r="AJ307" i="26"/>
  <c r="AK307" i="26"/>
  <c r="AL307" i="26"/>
  <c r="AM307" i="26"/>
  <c r="AN307" i="26"/>
  <c r="AO307" i="26"/>
  <c r="AP307" i="26"/>
  <c r="AQ307" i="26"/>
  <c r="AR307" i="26"/>
  <c r="AS307" i="26"/>
  <c r="AT307" i="26"/>
  <c r="AU307" i="26"/>
  <c r="AV307" i="26"/>
  <c r="AW307" i="26"/>
  <c r="AX307" i="26"/>
  <c r="AY307" i="26"/>
  <c r="AZ307" i="26"/>
  <c r="BA307" i="26"/>
  <c r="BB307" i="26"/>
  <c r="BC307" i="26"/>
  <c r="BD307" i="26"/>
  <c r="BE307" i="26"/>
  <c r="BF307" i="26"/>
  <c r="BG307" i="26"/>
  <c r="H308" i="26"/>
  <c r="I308" i="26"/>
  <c r="J308" i="26"/>
  <c r="K308" i="26"/>
  <c r="L308" i="26"/>
  <c r="M308" i="26"/>
  <c r="N308" i="26"/>
  <c r="O308" i="26"/>
  <c r="P308" i="26"/>
  <c r="Q308" i="26"/>
  <c r="R308" i="26"/>
  <c r="S308" i="26"/>
  <c r="T308" i="26"/>
  <c r="U308" i="26"/>
  <c r="V308" i="26"/>
  <c r="W308" i="26"/>
  <c r="X308" i="26"/>
  <c r="Y308" i="26"/>
  <c r="Z308" i="26"/>
  <c r="AA308" i="26"/>
  <c r="AB308" i="26"/>
  <c r="AC308" i="26"/>
  <c r="AD308" i="26"/>
  <c r="AE308" i="26"/>
  <c r="AF308" i="26"/>
  <c r="AG308" i="26"/>
  <c r="AH308" i="26"/>
  <c r="AI308" i="26"/>
  <c r="AJ308" i="26"/>
  <c r="AK308" i="26"/>
  <c r="AL308" i="26"/>
  <c r="AM308" i="26"/>
  <c r="AN308" i="26"/>
  <c r="AO308" i="26"/>
  <c r="AP308" i="26"/>
  <c r="AQ308" i="26"/>
  <c r="AR308" i="26"/>
  <c r="AS308" i="26"/>
  <c r="AT308" i="26"/>
  <c r="AU308" i="26"/>
  <c r="AV308" i="26"/>
  <c r="AW308" i="26"/>
  <c r="AX308" i="26"/>
  <c r="AY308" i="26"/>
  <c r="AZ308" i="26"/>
  <c r="BA308" i="26"/>
  <c r="BB308" i="26"/>
  <c r="BC308" i="26"/>
  <c r="BD308" i="26"/>
  <c r="BE308" i="26"/>
  <c r="BF308" i="26"/>
  <c r="BG308" i="26"/>
  <c r="H309" i="26"/>
  <c r="I309" i="26"/>
  <c r="J309" i="26"/>
  <c r="K309" i="26"/>
  <c r="L309" i="26"/>
  <c r="M309" i="26"/>
  <c r="N309" i="26"/>
  <c r="O309" i="26"/>
  <c r="P309" i="26"/>
  <c r="Q309" i="26"/>
  <c r="R309" i="26"/>
  <c r="S309" i="26"/>
  <c r="T309" i="26"/>
  <c r="U309" i="26"/>
  <c r="V309" i="26"/>
  <c r="W309" i="26"/>
  <c r="X309" i="26"/>
  <c r="Y309" i="26"/>
  <c r="Z309" i="26"/>
  <c r="AA309" i="26"/>
  <c r="AB309" i="26"/>
  <c r="AC309" i="26"/>
  <c r="AD309" i="26"/>
  <c r="AE309" i="26"/>
  <c r="AF309" i="26"/>
  <c r="AG309" i="26"/>
  <c r="AH309" i="26"/>
  <c r="AI309" i="26"/>
  <c r="AJ309" i="26"/>
  <c r="AK309" i="26"/>
  <c r="AL309" i="26"/>
  <c r="AM309" i="26"/>
  <c r="AN309" i="26"/>
  <c r="AO309" i="26"/>
  <c r="AP309" i="26"/>
  <c r="AQ309" i="26"/>
  <c r="AR309" i="26"/>
  <c r="AS309" i="26"/>
  <c r="AT309" i="26"/>
  <c r="AU309" i="26"/>
  <c r="AV309" i="26"/>
  <c r="AW309" i="26"/>
  <c r="AX309" i="26"/>
  <c r="AY309" i="26"/>
  <c r="AZ309" i="26"/>
  <c r="BA309" i="26"/>
  <c r="BB309" i="26"/>
  <c r="BC309" i="26"/>
  <c r="BD309" i="26"/>
  <c r="BE309" i="26"/>
  <c r="BF309" i="26"/>
  <c r="BG309" i="26"/>
  <c r="H310" i="26"/>
  <c r="I310" i="26"/>
  <c r="J310" i="26"/>
  <c r="K310" i="26"/>
  <c r="L310" i="26"/>
  <c r="M310" i="26"/>
  <c r="N310" i="26"/>
  <c r="O310" i="26"/>
  <c r="P310" i="26"/>
  <c r="Q310" i="26"/>
  <c r="R310" i="26"/>
  <c r="S310" i="26"/>
  <c r="T310" i="26"/>
  <c r="U310" i="26"/>
  <c r="V310" i="26"/>
  <c r="W310" i="26"/>
  <c r="X310" i="26"/>
  <c r="Y310" i="26"/>
  <c r="Z310" i="26"/>
  <c r="AA310" i="26"/>
  <c r="AB310" i="26"/>
  <c r="AC310" i="26"/>
  <c r="AD310" i="26"/>
  <c r="AE310" i="26"/>
  <c r="AF310" i="26"/>
  <c r="AG310" i="26"/>
  <c r="AH310" i="26"/>
  <c r="AI310" i="26"/>
  <c r="AJ310" i="26"/>
  <c r="AK310" i="26"/>
  <c r="AL310" i="26"/>
  <c r="AM310" i="26"/>
  <c r="AN310" i="26"/>
  <c r="AO310" i="26"/>
  <c r="AP310" i="26"/>
  <c r="AQ310" i="26"/>
  <c r="AR310" i="26"/>
  <c r="AS310" i="26"/>
  <c r="AT310" i="26"/>
  <c r="AU310" i="26"/>
  <c r="AV310" i="26"/>
  <c r="AW310" i="26"/>
  <c r="AX310" i="26"/>
  <c r="AY310" i="26"/>
  <c r="AZ310" i="26"/>
  <c r="BA310" i="26"/>
  <c r="BB310" i="26"/>
  <c r="BC310" i="26"/>
  <c r="BD310" i="26"/>
  <c r="BE310" i="26"/>
  <c r="BF310" i="26"/>
  <c r="BG310" i="26"/>
  <c r="H311" i="26"/>
  <c r="I311" i="26"/>
  <c r="J311" i="26"/>
  <c r="K311" i="26"/>
  <c r="L311" i="26"/>
  <c r="M311" i="26"/>
  <c r="N311" i="26"/>
  <c r="O311" i="26"/>
  <c r="P311" i="26"/>
  <c r="Q311" i="26"/>
  <c r="R311" i="26"/>
  <c r="S311" i="26"/>
  <c r="T311" i="26"/>
  <c r="U311" i="26"/>
  <c r="V311" i="26"/>
  <c r="W311" i="26"/>
  <c r="X311" i="26"/>
  <c r="Y311" i="26"/>
  <c r="Z311" i="26"/>
  <c r="AA311" i="26"/>
  <c r="AB311" i="26"/>
  <c r="AC311" i="26"/>
  <c r="AD311" i="26"/>
  <c r="AE311" i="26"/>
  <c r="AF311" i="26"/>
  <c r="AG311" i="26"/>
  <c r="AH311" i="26"/>
  <c r="AI311" i="26"/>
  <c r="AJ311" i="26"/>
  <c r="AK311" i="26"/>
  <c r="AL311" i="26"/>
  <c r="AM311" i="26"/>
  <c r="AN311" i="26"/>
  <c r="AO311" i="26"/>
  <c r="AP311" i="26"/>
  <c r="AQ311" i="26"/>
  <c r="AR311" i="26"/>
  <c r="AS311" i="26"/>
  <c r="AT311" i="26"/>
  <c r="AU311" i="26"/>
  <c r="AV311" i="26"/>
  <c r="AW311" i="26"/>
  <c r="AX311" i="26"/>
  <c r="AY311" i="26"/>
  <c r="AZ311" i="26"/>
  <c r="BA311" i="26"/>
  <c r="BB311" i="26"/>
  <c r="BC311" i="26"/>
  <c r="BD311" i="26"/>
  <c r="BE311" i="26"/>
  <c r="BF311" i="26"/>
  <c r="BG311" i="26"/>
  <c r="H312" i="26"/>
  <c r="I312" i="26"/>
  <c r="J312" i="26"/>
  <c r="K312" i="26"/>
  <c r="L312" i="26"/>
  <c r="M312" i="26"/>
  <c r="N312" i="26"/>
  <c r="O312" i="26"/>
  <c r="P312" i="26"/>
  <c r="Q312" i="26"/>
  <c r="R312" i="26"/>
  <c r="S312" i="26"/>
  <c r="T312" i="26"/>
  <c r="U312" i="26"/>
  <c r="V312" i="26"/>
  <c r="W312" i="26"/>
  <c r="X312" i="26"/>
  <c r="Y312" i="26"/>
  <c r="Z312" i="26"/>
  <c r="AA312" i="26"/>
  <c r="AB312" i="26"/>
  <c r="AC312" i="26"/>
  <c r="AD312" i="26"/>
  <c r="AE312" i="26"/>
  <c r="AF312" i="26"/>
  <c r="AG312" i="26"/>
  <c r="AH312" i="26"/>
  <c r="AI312" i="26"/>
  <c r="AJ312" i="26"/>
  <c r="AK312" i="26"/>
  <c r="AL312" i="26"/>
  <c r="AM312" i="26"/>
  <c r="AN312" i="26"/>
  <c r="AO312" i="26"/>
  <c r="AP312" i="26"/>
  <c r="AQ312" i="26"/>
  <c r="AR312" i="26"/>
  <c r="AS312" i="26"/>
  <c r="AT312" i="26"/>
  <c r="AU312" i="26"/>
  <c r="AV312" i="26"/>
  <c r="AW312" i="26"/>
  <c r="AX312" i="26"/>
  <c r="AY312" i="26"/>
  <c r="AZ312" i="26"/>
  <c r="BA312" i="26"/>
  <c r="BB312" i="26"/>
  <c r="BC312" i="26"/>
  <c r="BD312" i="26"/>
  <c r="BE312" i="26"/>
  <c r="BF312" i="26"/>
  <c r="BG312" i="26"/>
  <c r="H313" i="26"/>
  <c r="I313" i="26"/>
  <c r="J313" i="26"/>
  <c r="K313" i="26"/>
  <c r="L313" i="26"/>
  <c r="M313" i="26"/>
  <c r="N313" i="26"/>
  <c r="O313" i="26"/>
  <c r="P313" i="26"/>
  <c r="Q313" i="26"/>
  <c r="R313" i="26"/>
  <c r="S313" i="26"/>
  <c r="T313" i="26"/>
  <c r="U313" i="26"/>
  <c r="V313" i="26"/>
  <c r="W313" i="26"/>
  <c r="X313" i="26"/>
  <c r="Y313" i="26"/>
  <c r="Z313" i="26"/>
  <c r="AA313" i="26"/>
  <c r="AB313" i="26"/>
  <c r="AC313" i="26"/>
  <c r="AD313" i="26"/>
  <c r="AE313" i="26"/>
  <c r="AF313" i="26"/>
  <c r="AG313" i="26"/>
  <c r="AH313" i="26"/>
  <c r="AI313" i="26"/>
  <c r="AJ313" i="26"/>
  <c r="AK313" i="26"/>
  <c r="AL313" i="26"/>
  <c r="AM313" i="26"/>
  <c r="AN313" i="26"/>
  <c r="AO313" i="26"/>
  <c r="AP313" i="26"/>
  <c r="AQ313" i="26"/>
  <c r="AR313" i="26"/>
  <c r="AS313" i="26"/>
  <c r="AT313" i="26"/>
  <c r="AU313" i="26"/>
  <c r="AV313" i="26"/>
  <c r="AW313" i="26"/>
  <c r="AX313" i="26"/>
  <c r="AY313" i="26"/>
  <c r="AZ313" i="26"/>
  <c r="BA313" i="26"/>
  <c r="BB313" i="26"/>
  <c r="BC313" i="26"/>
  <c r="BD313" i="26"/>
  <c r="BE313" i="26"/>
  <c r="BF313" i="26"/>
  <c r="BG313" i="26"/>
  <c r="H314" i="26"/>
  <c r="I314" i="26"/>
  <c r="J314" i="26"/>
  <c r="K314" i="26"/>
  <c r="L314" i="26"/>
  <c r="M314" i="26"/>
  <c r="N314" i="26"/>
  <c r="O314" i="26"/>
  <c r="P314" i="26"/>
  <c r="Q314" i="26"/>
  <c r="R314" i="26"/>
  <c r="S314" i="26"/>
  <c r="T314" i="26"/>
  <c r="U314" i="26"/>
  <c r="V314" i="26"/>
  <c r="W314" i="26"/>
  <c r="X314" i="26"/>
  <c r="Y314" i="26"/>
  <c r="Z314" i="26"/>
  <c r="AA314" i="26"/>
  <c r="AB314" i="26"/>
  <c r="AC314" i="26"/>
  <c r="AD314" i="26"/>
  <c r="AE314" i="26"/>
  <c r="AF314" i="26"/>
  <c r="AG314" i="26"/>
  <c r="AH314" i="26"/>
  <c r="AI314" i="26"/>
  <c r="AJ314" i="26"/>
  <c r="AK314" i="26"/>
  <c r="AL314" i="26"/>
  <c r="AM314" i="26"/>
  <c r="AN314" i="26"/>
  <c r="AO314" i="26"/>
  <c r="AP314" i="26"/>
  <c r="AQ314" i="26"/>
  <c r="AR314" i="26"/>
  <c r="AS314" i="26"/>
  <c r="AT314" i="26"/>
  <c r="AU314" i="26"/>
  <c r="AV314" i="26"/>
  <c r="AW314" i="26"/>
  <c r="AX314" i="26"/>
  <c r="AY314" i="26"/>
  <c r="AZ314" i="26"/>
  <c r="BA314" i="26"/>
  <c r="BB314" i="26"/>
  <c r="BC314" i="26"/>
  <c r="BD314" i="26"/>
  <c r="BE314" i="26"/>
  <c r="BF314" i="26"/>
  <c r="BG314" i="26"/>
  <c r="H315" i="26"/>
  <c r="I315" i="26"/>
  <c r="J315" i="26"/>
  <c r="K315" i="26"/>
  <c r="L315" i="26"/>
  <c r="M315" i="26"/>
  <c r="N315" i="26"/>
  <c r="O315" i="26"/>
  <c r="P315" i="26"/>
  <c r="Q315" i="26"/>
  <c r="R315" i="26"/>
  <c r="S315" i="26"/>
  <c r="T315" i="26"/>
  <c r="U315" i="26"/>
  <c r="V315" i="26"/>
  <c r="W315" i="26"/>
  <c r="X315" i="26"/>
  <c r="Y315" i="26"/>
  <c r="Z315" i="26"/>
  <c r="AA315" i="26"/>
  <c r="AB315" i="26"/>
  <c r="AC315" i="26"/>
  <c r="AD315" i="26"/>
  <c r="AE315" i="26"/>
  <c r="AF315" i="26"/>
  <c r="AG315" i="26"/>
  <c r="AH315" i="26"/>
  <c r="AI315" i="26"/>
  <c r="AJ315" i="26"/>
  <c r="AK315" i="26"/>
  <c r="AL315" i="26"/>
  <c r="AM315" i="26"/>
  <c r="AN315" i="26"/>
  <c r="AO315" i="26"/>
  <c r="AP315" i="26"/>
  <c r="AQ315" i="26"/>
  <c r="AR315" i="26"/>
  <c r="AS315" i="26"/>
  <c r="AT315" i="26"/>
  <c r="AU315" i="26"/>
  <c r="AV315" i="26"/>
  <c r="AW315" i="26"/>
  <c r="AX315" i="26"/>
  <c r="AY315" i="26"/>
  <c r="AZ315" i="26"/>
  <c r="BA315" i="26"/>
  <c r="BB315" i="26"/>
  <c r="BC315" i="26"/>
  <c r="BD315" i="26"/>
  <c r="BE315" i="26"/>
  <c r="BF315" i="26"/>
  <c r="BG315" i="26"/>
  <c r="H316" i="26"/>
  <c r="I316" i="26"/>
  <c r="J316" i="26"/>
  <c r="K316" i="26"/>
  <c r="L316" i="26"/>
  <c r="M316" i="26"/>
  <c r="N316" i="26"/>
  <c r="O316" i="26"/>
  <c r="P316" i="26"/>
  <c r="Q316" i="26"/>
  <c r="R316" i="26"/>
  <c r="S316" i="26"/>
  <c r="T316" i="26"/>
  <c r="U316" i="26"/>
  <c r="V316" i="26"/>
  <c r="W316" i="26"/>
  <c r="X316" i="26"/>
  <c r="Y316" i="26"/>
  <c r="Z316" i="26"/>
  <c r="AA316" i="26"/>
  <c r="AB316" i="26"/>
  <c r="AC316" i="26"/>
  <c r="AD316" i="26"/>
  <c r="AE316" i="26"/>
  <c r="AF316" i="26"/>
  <c r="AG316" i="26"/>
  <c r="AH316" i="26"/>
  <c r="AI316" i="26"/>
  <c r="AJ316" i="26"/>
  <c r="AK316" i="26"/>
  <c r="AL316" i="26"/>
  <c r="AM316" i="26"/>
  <c r="AN316" i="26"/>
  <c r="AO316" i="26"/>
  <c r="AP316" i="26"/>
  <c r="AQ316" i="26"/>
  <c r="AR316" i="26"/>
  <c r="AS316" i="26"/>
  <c r="AT316" i="26"/>
  <c r="AU316" i="26"/>
  <c r="AV316" i="26"/>
  <c r="AW316" i="26"/>
  <c r="AX316" i="26"/>
  <c r="AY316" i="26"/>
  <c r="AZ316" i="26"/>
  <c r="BA316" i="26"/>
  <c r="BB316" i="26"/>
  <c r="BC316" i="26"/>
  <c r="BD316" i="26"/>
  <c r="BE316" i="26"/>
  <c r="BF316" i="26"/>
  <c r="BG316" i="26"/>
  <c r="H317" i="26"/>
  <c r="I317" i="26"/>
  <c r="J317" i="26"/>
  <c r="K317" i="26"/>
  <c r="L317" i="26"/>
  <c r="M317" i="26"/>
  <c r="N317" i="26"/>
  <c r="O317" i="26"/>
  <c r="P317" i="26"/>
  <c r="Q317" i="26"/>
  <c r="R317" i="26"/>
  <c r="S317" i="26"/>
  <c r="T317" i="26"/>
  <c r="U317" i="26"/>
  <c r="V317" i="26"/>
  <c r="W317" i="26"/>
  <c r="X317" i="26"/>
  <c r="Y317" i="26"/>
  <c r="Z317" i="26"/>
  <c r="AA317" i="26"/>
  <c r="AB317" i="26"/>
  <c r="AC317" i="26"/>
  <c r="AD317" i="26"/>
  <c r="AE317" i="26"/>
  <c r="AF317" i="26"/>
  <c r="AG317" i="26"/>
  <c r="AH317" i="26"/>
  <c r="AI317" i="26"/>
  <c r="AJ317" i="26"/>
  <c r="AK317" i="26"/>
  <c r="AL317" i="26"/>
  <c r="AM317" i="26"/>
  <c r="AN317" i="26"/>
  <c r="AO317" i="26"/>
  <c r="AP317" i="26"/>
  <c r="AQ317" i="26"/>
  <c r="AR317" i="26"/>
  <c r="AS317" i="26"/>
  <c r="AT317" i="26"/>
  <c r="AU317" i="26"/>
  <c r="AV317" i="26"/>
  <c r="AW317" i="26"/>
  <c r="AX317" i="26"/>
  <c r="AY317" i="26"/>
  <c r="AZ317" i="26"/>
  <c r="BA317" i="26"/>
  <c r="BB317" i="26"/>
  <c r="BC317" i="26"/>
  <c r="BD317" i="26"/>
  <c r="BE317" i="26"/>
  <c r="BF317" i="26"/>
  <c r="BG317" i="26"/>
  <c r="H318" i="26"/>
  <c r="I318" i="26"/>
  <c r="J318" i="26"/>
  <c r="K318" i="26"/>
  <c r="L318" i="26"/>
  <c r="M318" i="26"/>
  <c r="N318" i="26"/>
  <c r="O318" i="26"/>
  <c r="P318" i="26"/>
  <c r="Q318" i="26"/>
  <c r="R318" i="26"/>
  <c r="S318" i="26"/>
  <c r="T318" i="26"/>
  <c r="U318" i="26"/>
  <c r="V318" i="26"/>
  <c r="W318" i="26"/>
  <c r="X318" i="26"/>
  <c r="Y318" i="26"/>
  <c r="Z318" i="26"/>
  <c r="AA318" i="26"/>
  <c r="AB318" i="26"/>
  <c r="AC318" i="26"/>
  <c r="AD318" i="26"/>
  <c r="AE318" i="26"/>
  <c r="AF318" i="26"/>
  <c r="AG318" i="26"/>
  <c r="AH318" i="26"/>
  <c r="AI318" i="26"/>
  <c r="AJ318" i="26"/>
  <c r="AK318" i="26"/>
  <c r="AL318" i="26"/>
  <c r="AM318" i="26"/>
  <c r="AN318" i="26"/>
  <c r="AO318" i="26"/>
  <c r="AP318" i="26"/>
  <c r="AQ318" i="26"/>
  <c r="AR318" i="26"/>
  <c r="AS318" i="26"/>
  <c r="AT318" i="26"/>
  <c r="AU318" i="26"/>
  <c r="AV318" i="26"/>
  <c r="AW318" i="26"/>
  <c r="AX318" i="26"/>
  <c r="AY318" i="26"/>
  <c r="AZ318" i="26"/>
  <c r="BA318" i="26"/>
  <c r="BB318" i="26"/>
  <c r="BC318" i="26"/>
  <c r="BD318" i="26"/>
  <c r="BE318" i="26"/>
  <c r="BF318" i="26"/>
  <c r="BG318" i="26"/>
  <c r="H319" i="26"/>
  <c r="I319" i="26"/>
  <c r="J319" i="26"/>
  <c r="K319" i="26"/>
  <c r="L319" i="26"/>
  <c r="M319" i="26"/>
  <c r="N319" i="26"/>
  <c r="O319" i="26"/>
  <c r="P319" i="26"/>
  <c r="Q319" i="26"/>
  <c r="R319" i="26"/>
  <c r="S319" i="26"/>
  <c r="T319" i="26"/>
  <c r="U319" i="26"/>
  <c r="V319" i="26"/>
  <c r="W319" i="26"/>
  <c r="X319" i="26"/>
  <c r="Y319" i="26"/>
  <c r="Z319" i="26"/>
  <c r="AA319" i="26"/>
  <c r="AB319" i="26"/>
  <c r="AC319" i="26"/>
  <c r="AD319" i="26"/>
  <c r="AE319" i="26"/>
  <c r="AF319" i="26"/>
  <c r="AG319" i="26"/>
  <c r="AH319" i="26"/>
  <c r="AI319" i="26"/>
  <c r="AJ319" i="26"/>
  <c r="AK319" i="26"/>
  <c r="AL319" i="26"/>
  <c r="AM319" i="26"/>
  <c r="AN319" i="26"/>
  <c r="AO319" i="26"/>
  <c r="AP319" i="26"/>
  <c r="AQ319" i="26"/>
  <c r="AR319" i="26"/>
  <c r="AS319" i="26"/>
  <c r="AT319" i="26"/>
  <c r="AU319" i="26"/>
  <c r="AV319" i="26"/>
  <c r="AW319" i="26"/>
  <c r="AX319" i="26"/>
  <c r="AY319" i="26"/>
  <c r="AZ319" i="26"/>
  <c r="BA319" i="26"/>
  <c r="BB319" i="26"/>
  <c r="BC319" i="26"/>
  <c r="BD319" i="26"/>
  <c r="BE319" i="26"/>
  <c r="BF319" i="26"/>
  <c r="BG319" i="26"/>
  <c r="H320" i="26"/>
  <c r="I320" i="26"/>
  <c r="J320" i="26"/>
  <c r="K320" i="26"/>
  <c r="L320" i="26"/>
  <c r="M320" i="26"/>
  <c r="N320" i="26"/>
  <c r="O320" i="26"/>
  <c r="P320" i="26"/>
  <c r="Q320" i="26"/>
  <c r="R320" i="26"/>
  <c r="S320" i="26"/>
  <c r="T320" i="26"/>
  <c r="U320" i="26"/>
  <c r="V320" i="26"/>
  <c r="W320" i="26"/>
  <c r="X320" i="26"/>
  <c r="Y320" i="26"/>
  <c r="Z320" i="26"/>
  <c r="AA320" i="26"/>
  <c r="AB320" i="26"/>
  <c r="AC320" i="26"/>
  <c r="AD320" i="26"/>
  <c r="AE320" i="26"/>
  <c r="AF320" i="26"/>
  <c r="AG320" i="26"/>
  <c r="AH320" i="26"/>
  <c r="AI320" i="26"/>
  <c r="AJ320" i="26"/>
  <c r="AK320" i="26"/>
  <c r="AL320" i="26"/>
  <c r="AM320" i="26"/>
  <c r="AN320" i="26"/>
  <c r="AO320" i="26"/>
  <c r="AP320" i="26"/>
  <c r="AQ320" i="26"/>
  <c r="AR320" i="26"/>
  <c r="AS320" i="26"/>
  <c r="AT320" i="26"/>
  <c r="AU320" i="26"/>
  <c r="AV320" i="26"/>
  <c r="AW320" i="26"/>
  <c r="AX320" i="26"/>
  <c r="AY320" i="26"/>
  <c r="AZ320" i="26"/>
  <c r="BA320" i="26"/>
  <c r="BB320" i="26"/>
  <c r="BC320" i="26"/>
  <c r="BD320" i="26"/>
  <c r="BE320" i="26"/>
  <c r="BF320" i="26"/>
  <c r="BG320" i="26"/>
  <c r="H321" i="26"/>
  <c r="I321" i="26"/>
  <c r="J321" i="26"/>
  <c r="K321" i="26"/>
  <c r="L321" i="26"/>
  <c r="M321" i="26"/>
  <c r="N321" i="26"/>
  <c r="O321" i="26"/>
  <c r="P321" i="26"/>
  <c r="Q321" i="26"/>
  <c r="R321" i="26"/>
  <c r="S321" i="26"/>
  <c r="T321" i="26"/>
  <c r="U321" i="26"/>
  <c r="V321" i="26"/>
  <c r="W321" i="26"/>
  <c r="X321" i="26"/>
  <c r="Y321" i="26"/>
  <c r="Z321" i="26"/>
  <c r="AA321" i="26"/>
  <c r="AB321" i="26"/>
  <c r="AC321" i="26"/>
  <c r="AD321" i="26"/>
  <c r="AE321" i="26"/>
  <c r="AF321" i="26"/>
  <c r="AG321" i="26"/>
  <c r="AH321" i="26"/>
  <c r="AI321" i="26"/>
  <c r="AJ321" i="26"/>
  <c r="AK321" i="26"/>
  <c r="AL321" i="26"/>
  <c r="AM321" i="26"/>
  <c r="AN321" i="26"/>
  <c r="AO321" i="26"/>
  <c r="AP321" i="26"/>
  <c r="AQ321" i="26"/>
  <c r="AR321" i="26"/>
  <c r="AS321" i="26"/>
  <c r="AT321" i="26"/>
  <c r="AU321" i="26"/>
  <c r="AV321" i="26"/>
  <c r="AW321" i="26"/>
  <c r="AX321" i="26"/>
  <c r="AY321" i="26"/>
  <c r="AZ321" i="26"/>
  <c r="BA321" i="26"/>
  <c r="BB321" i="26"/>
  <c r="BC321" i="26"/>
  <c r="BD321" i="26"/>
  <c r="BE321" i="26"/>
  <c r="BF321" i="26"/>
  <c r="BG321" i="26"/>
  <c r="H322" i="26"/>
  <c r="I322" i="26"/>
  <c r="J322" i="26"/>
  <c r="K322" i="26"/>
  <c r="L322" i="26"/>
  <c r="M322" i="26"/>
  <c r="N322" i="26"/>
  <c r="O322" i="26"/>
  <c r="P322" i="26"/>
  <c r="Q322" i="26"/>
  <c r="R322" i="26"/>
  <c r="S322" i="26"/>
  <c r="T322" i="26"/>
  <c r="U322" i="26"/>
  <c r="V322" i="26"/>
  <c r="W322" i="26"/>
  <c r="X322" i="26"/>
  <c r="Y322" i="26"/>
  <c r="Z322" i="26"/>
  <c r="AA322" i="26"/>
  <c r="AB322" i="26"/>
  <c r="AC322" i="26"/>
  <c r="AD322" i="26"/>
  <c r="AE322" i="26"/>
  <c r="AF322" i="26"/>
  <c r="AG322" i="26"/>
  <c r="AH322" i="26"/>
  <c r="AI322" i="26"/>
  <c r="AJ322" i="26"/>
  <c r="AK322" i="26"/>
  <c r="AL322" i="26"/>
  <c r="AM322" i="26"/>
  <c r="AN322" i="26"/>
  <c r="AO322" i="26"/>
  <c r="AP322" i="26"/>
  <c r="AQ322" i="26"/>
  <c r="AR322" i="26"/>
  <c r="AS322" i="26"/>
  <c r="AT322" i="26"/>
  <c r="AU322" i="26"/>
  <c r="AV322" i="26"/>
  <c r="AW322" i="26"/>
  <c r="AX322" i="26"/>
  <c r="AY322" i="26"/>
  <c r="AZ322" i="26"/>
  <c r="BA322" i="26"/>
  <c r="BB322" i="26"/>
  <c r="BC322" i="26"/>
  <c r="BD322" i="26"/>
  <c r="BE322" i="26"/>
  <c r="BF322" i="26"/>
  <c r="BG322" i="26"/>
  <c r="H323" i="26"/>
  <c r="I323" i="26"/>
  <c r="J323" i="26"/>
  <c r="K323" i="26"/>
  <c r="L323" i="26"/>
  <c r="M323" i="26"/>
  <c r="N323" i="26"/>
  <c r="O323" i="26"/>
  <c r="P323" i="26"/>
  <c r="Q323" i="26"/>
  <c r="R323" i="26"/>
  <c r="S323" i="26"/>
  <c r="T323" i="26"/>
  <c r="U323" i="26"/>
  <c r="V323" i="26"/>
  <c r="W323" i="26"/>
  <c r="X323" i="26"/>
  <c r="Y323" i="26"/>
  <c r="Z323" i="26"/>
  <c r="AA323" i="26"/>
  <c r="AB323" i="26"/>
  <c r="AC323" i="26"/>
  <c r="AD323" i="26"/>
  <c r="AE323" i="26"/>
  <c r="AF323" i="26"/>
  <c r="AG323" i="26"/>
  <c r="AH323" i="26"/>
  <c r="AI323" i="26"/>
  <c r="AJ323" i="26"/>
  <c r="AK323" i="26"/>
  <c r="AL323" i="26"/>
  <c r="AM323" i="26"/>
  <c r="AN323" i="26"/>
  <c r="AO323" i="26"/>
  <c r="AP323" i="26"/>
  <c r="AQ323" i="26"/>
  <c r="AR323" i="26"/>
  <c r="AS323" i="26"/>
  <c r="AT323" i="26"/>
  <c r="AU323" i="26"/>
  <c r="AV323" i="26"/>
  <c r="AW323" i="26"/>
  <c r="AX323" i="26"/>
  <c r="AY323" i="26"/>
  <c r="AZ323" i="26"/>
  <c r="BA323" i="26"/>
  <c r="BB323" i="26"/>
  <c r="BC323" i="26"/>
  <c r="BD323" i="26"/>
  <c r="BE323" i="26"/>
  <c r="BF323" i="26"/>
  <c r="BG323" i="26"/>
  <c r="H324" i="26"/>
  <c r="I324" i="26"/>
  <c r="J324" i="26"/>
  <c r="K324" i="26"/>
  <c r="L324" i="26"/>
  <c r="M324" i="26"/>
  <c r="N324" i="26"/>
  <c r="O324" i="26"/>
  <c r="P324" i="26"/>
  <c r="Q324" i="26"/>
  <c r="R324" i="26"/>
  <c r="S324" i="26"/>
  <c r="T324" i="26"/>
  <c r="U324" i="26"/>
  <c r="V324" i="26"/>
  <c r="W324" i="26"/>
  <c r="X324" i="26"/>
  <c r="Y324" i="26"/>
  <c r="Z324" i="26"/>
  <c r="AA324" i="26"/>
  <c r="AB324" i="26"/>
  <c r="AC324" i="26"/>
  <c r="AD324" i="26"/>
  <c r="AE324" i="26"/>
  <c r="AF324" i="26"/>
  <c r="AG324" i="26"/>
  <c r="AH324" i="26"/>
  <c r="AI324" i="26"/>
  <c r="AJ324" i="26"/>
  <c r="AK324" i="26"/>
  <c r="AL324" i="26"/>
  <c r="AM324" i="26"/>
  <c r="AN324" i="26"/>
  <c r="AO324" i="26"/>
  <c r="AP324" i="26"/>
  <c r="AQ324" i="26"/>
  <c r="AR324" i="26"/>
  <c r="AS324" i="26"/>
  <c r="AT324" i="26"/>
  <c r="AU324" i="26"/>
  <c r="AV324" i="26"/>
  <c r="AW324" i="26"/>
  <c r="AX324" i="26"/>
  <c r="AY324" i="26"/>
  <c r="AZ324" i="26"/>
  <c r="BA324" i="26"/>
  <c r="BB324" i="26"/>
  <c r="BC324" i="26"/>
  <c r="BD324" i="26"/>
  <c r="BE324" i="26"/>
  <c r="BF324" i="26"/>
  <c r="BG324" i="26"/>
  <c r="H325" i="26"/>
  <c r="I325" i="26"/>
  <c r="J325" i="26"/>
  <c r="K325" i="26"/>
  <c r="L325" i="26"/>
  <c r="M325" i="26"/>
  <c r="N325" i="26"/>
  <c r="O325" i="26"/>
  <c r="P325" i="26"/>
  <c r="Q325" i="26"/>
  <c r="R325" i="26"/>
  <c r="S325" i="26"/>
  <c r="T325" i="26"/>
  <c r="U325" i="26"/>
  <c r="V325" i="26"/>
  <c r="W325" i="26"/>
  <c r="X325" i="26"/>
  <c r="Y325" i="26"/>
  <c r="Z325" i="26"/>
  <c r="AA325" i="26"/>
  <c r="AB325" i="26"/>
  <c r="AC325" i="26"/>
  <c r="AD325" i="26"/>
  <c r="AE325" i="26"/>
  <c r="AF325" i="26"/>
  <c r="AG325" i="26"/>
  <c r="AH325" i="26"/>
  <c r="AI325" i="26"/>
  <c r="AJ325" i="26"/>
  <c r="AK325" i="26"/>
  <c r="AL325" i="26"/>
  <c r="AM325" i="26"/>
  <c r="AN325" i="26"/>
  <c r="AO325" i="26"/>
  <c r="AP325" i="26"/>
  <c r="AQ325" i="26"/>
  <c r="AR325" i="26"/>
  <c r="AS325" i="26"/>
  <c r="AT325" i="26"/>
  <c r="AU325" i="26"/>
  <c r="AV325" i="26"/>
  <c r="AW325" i="26"/>
  <c r="AX325" i="26"/>
  <c r="AY325" i="26"/>
  <c r="AZ325" i="26"/>
  <c r="BA325" i="26"/>
  <c r="BB325" i="26"/>
  <c r="BC325" i="26"/>
  <c r="BD325" i="26"/>
  <c r="BE325" i="26"/>
  <c r="BF325" i="26"/>
  <c r="BG325" i="26"/>
  <c r="H326" i="26"/>
  <c r="I326" i="26"/>
  <c r="J326" i="26"/>
  <c r="K326" i="26"/>
  <c r="L326" i="26"/>
  <c r="M326" i="26"/>
  <c r="N326" i="26"/>
  <c r="O326" i="26"/>
  <c r="P326" i="26"/>
  <c r="Q326" i="26"/>
  <c r="R326" i="26"/>
  <c r="S326" i="26"/>
  <c r="T326" i="26"/>
  <c r="U326" i="26"/>
  <c r="V326" i="26"/>
  <c r="W326" i="26"/>
  <c r="X326" i="26"/>
  <c r="Y326" i="26"/>
  <c r="Z326" i="26"/>
  <c r="AA326" i="26"/>
  <c r="AB326" i="26"/>
  <c r="AC326" i="26"/>
  <c r="AD326" i="26"/>
  <c r="AE326" i="26"/>
  <c r="AF326" i="26"/>
  <c r="AG326" i="26"/>
  <c r="AH326" i="26"/>
  <c r="AI326" i="26"/>
  <c r="AJ326" i="26"/>
  <c r="AK326" i="26"/>
  <c r="AL326" i="26"/>
  <c r="AM326" i="26"/>
  <c r="AN326" i="26"/>
  <c r="AO326" i="26"/>
  <c r="AP326" i="26"/>
  <c r="AQ326" i="26"/>
  <c r="AR326" i="26"/>
  <c r="AS326" i="26"/>
  <c r="AT326" i="26"/>
  <c r="AU326" i="26"/>
  <c r="AV326" i="26"/>
  <c r="AW326" i="26"/>
  <c r="AX326" i="26"/>
  <c r="AY326" i="26"/>
  <c r="AZ326" i="26"/>
  <c r="BA326" i="26"/>
  <c r="BB326" i="26"/>
  <c r="BC326" i="26"/>
  <c r="BD326" i="26"/>
  <c r="BE326" i="26"/>
  <c r="BF326" i="26"/>
  <c r="BG326" i="26"/>
  <c r="H327" i="26"/>
  <c r="I327" i="26"/>
  <c r="J327" i="26"/>
  <c r="K327" i="26"/>
  <c r="L327" i="26"/>
  <c r="M327" i="26"/>
  <c r="N327" i="26"/>
  <c r="O327" i="26"/>
  <c r="P327" i="26"/>
  <c r="Q327" i="26"/>
  <c r="R327" i="26"/>
  <c r="S327" i="26"/>
  <c r="T327" i="26"/>
  <c r="U327" i="26"/>
  <c r="V327" i="26"/>
  <c r="W327" i="26"/>
  <c r="X327" i="26"/>
  <c r="Y327" i="26"/>
  <c r="Z327" i="26"/>
  <c r="AA327" i="26"/>
  <c r="AB327" i="26"/>
  <c r="AC327" i="26"/>
  <c r="AD327" i="26"/>
  <c r="AE327" i="26"/>
  <c r="AF327" i="26"/>
  <c r="AG327" i="26"/>
  <c r="AH327" i="26"/>
  <c r="AI327" i="26"/>
  <c r="AJ327" i="26"/>
  <c r="AK327" i="26"/>
  <c r="AL327" i="26"/>
  <c r="AM327" i="26"/>
  <c r="AN327" i="26"/>
  <c r="AO327" i="26"/>
  <c r="AP327" i="26"/>
  <c r="AQ327" i="26"/>
  <c r="AR327" i="26"/>
  <c r="AS327" i="26"/>
  <c r="AT327" i="26"/>
  <c r="AU327" i="26"/>
  <c r="AV327" i="26"/>
  <c r="AW327" i="26"/>
  <c r="AX327" i="26"/>
  <c r="AY327" i="26"/>
  <c r="AZ327" i="26"/>
  <c r="BA327" i="26"/>
  <c r="BB327" i="26"/>
  <c r="BC327" i="26"/>
  <c r="BD327" i="26"/>
  <c r="BE327" i="26"/>
  <c r="BF327" i="26"/>
  <c r="BG327" i="26"/>
  <c r="H328" i="26"/>
  <c r="I328" i="26"/>
  <c r="J328" i="26"/>
  <c r="K328" i="26"/>
  <c r="L328" i="26"/>
  <c r="M328" i="26"/>
  <c r="N328" i="26"/>
  <c r="O328" i="26"/>
  <c r="P328" i="26"/>
  <c r="Q328" i="26"/>
  <c r="R328" i="26"/>
  <c r="S328" i="26"/>
  <c r="T328" i="26"/>
  <c r="U328" i="26"/>
  <c r="V328" i="26"/>
  <c r="W328" i="26"/>
  <c r="X328" i="26"/>
  <c r="Y328" i="26"/>
  <c r="Z328" i="26"/>
  <c r="AA328" i="26"/>
  <c r="AB328" i="26"/>
  <c r="AC328" i="26"/>
  <c r="AD328" i="26"/>
  <c r="AE328" i="26"/>
  <c r="AF328" i="26"/>
  <c r="AG328" i="26"/>
  <c r="AH328" i="26"/>
  <c r="AI328" i="26"/>
  <c r="AJ328" i="26"/>
  <c r="AK328" i="26"/>
  <c r="AL328" i="26"/>
  <c r="AM328" i="26"/>
  <c r="AN328" i="26"/>
  <c r="AO328" i="26"/>
  <c r="AP328" i="26"/>
  <c r="AQ328" i="26"/>
  <c r="AR328" i="26"/>
  <c r="AS328" i="26"/>
  <c r="AT328" i="26"/>
  <c r="AU328" i="26"/>
  <c r="AV328" i="26"/>
  <c r="AW328" i="26"/>
  <c r="AX328" i="26"/>
  <c r="AY328" i="26"/>
  <c r="AZ328" i="26"/>
  <c r="BA328" i="26"/>
  <c r="BB328" i="26"/>
  <c r="BC328" i="26"/>
  <c r="BD328" i="26"/>
  <c r="BE328" i="26"/>
  <c r="BF328" i="26"/>
  <c r="BG328" i="26"/>
  <c r="H329" i="26"/>
  <c r="I329" i="26"/>
  <c r="J329" i="26"/>
  <c r="K329" i="26"/>
  <c r="L329" i="26"/>
  <c r="M329" i="26"/>
  <c r="N329" i="26"/>
  <c r="O329" i="26"/>
  <c r="P329" i="26"/>
  <c r="Q329" i="26"/>
  <c r="R329" i="26"/>
  <c r="S329" i="26"/>
  <c r="T329" i="26"/>
  <c r="U329" i="26"/>
  <c r="V329" i="26"/>
  <c r="W329" i="26"/>
  <c r="X329" i="26"/>
  <c r="Y329" i="26"/>
  <c r="Z329" i="26"/>
  <c r="AA329" i="26"/>
  <c r="AB329" i="26"/>
  <c r="AC329" i="26"/>
  <c r="AD329" i="26"/>
  <c r="AE329" i="26"/>
  <c r="AF329" i="26"/>
  <c r="AG329" i="26"/>
  <c r="AH329" i="26"/>
  <c r="AI329" i="26"/>
  <c r="AJ329" i="26"/>
  <c r="AK329" i="26"/>
  <c r="AL329" i="26"/>
  <c r="AM329" i="26"/>
  <c r="AN329" i="26"/>
  <c r="AO329" i="26"/>
  <c r="AP329" i="26"/>
  <c r="AQ329" i="26"/>
  <c r="AR329" i="26"/>
  <c r="AS329" i="26"/>
  <c r="AT329" i="26"/>
  <c r="AU329" i="26"/>
  <c r="AV329" i="26"/>
  <c r="AW329" i="26"/>
  <c r="AX329" i="26"/>
  <c r="AY329" i="26"/>
  <c r="AZ329" i="26"/>
  <c r="BA329" i="26"/>
  <c r="BB329" i="26"/>
  <c r="BC329" i="26"/>
  <c r="BD329" i="26"/>
  <c r="BE329" i="26"/>
  <c r="BF329" i="26"/>
  <c r="BG329" i="26"/>
  <c r="H330" i="26"/>
  <c r="I330" i="26"/>
  <c r="J330" i="26"/>
  <c r="K330" i="26"/>
  <c r="L330" i="26"/>
  <c r="M330" i="26"/>
  <c r="N330" i="26"/>
  <c r="O330" i="26"/>
  <c r="P330" i="26"/>
  <c r="Q330" i="26"/>
  <c r="R330" i="26"/>
  <c r="S330" i="26"/>
  <c r="T330" i="26"/>
  <c r="U330" i="26"/>
  <c r="V330" i="26"/>
  <c r="W330" i="26"/>
  <c r="X330" i="26"/>
  <c r="Y330" i="26"/>
  <c r="Z330" i="26"/>
  <c r="AA330" i="26"/>
  <c r="AB330" i="26"/>
  <c r="AC330" i="26"/>
  <c r="AD330" i="26"/>
  <c r="AE330" i="26"/>
  <c r="AF330" i="26"/>
  <c r="AG330" i="26"/>
  <c r="AH330" i="26"/>
  <c r="AI330" i="26"/>
  <c r="AJ330" i="26"/>
  <c r="AK330" i="26"/>
  <c r="AL330" i="26"/>
  <c r="AM330" i="26"/>
  <c r="AN330" i="26"/>
  <c r="AO330" i="26"/>
  <c r="AP330" i="26"/>
  <c r="AQ330" i="26"/>
  <c r="AR330" i="26"/>
  <c r="AS330" i="26"/>
  <c r="AT330" i="26"/>
  <c r="AU330" i="26"/>
  <c r="AV330" i="26"/>
  <c r="AW330" i="26"/>
  <c r="AX330" i="26"/>
  <c r="AY330" i="26"/>
  <c r="AZ330" i="26"/>
  <c r="BA330" i="26"/>
  <c r="BB330" i="26"/>
  <c r="BC330" i="26"/>
  <c r="BD330" i="26"/>
  <c r="BE330" i="26"/>
  <c r="BF330" i="26"/>
  <c r="BG330" i="26"/>
  <c r="H331" i="26"/>
  <c r="I331" i="26"/>
  <c r="J331" i="26"/>
  <c r="K331" i="26"/>
  <c r="L331" i="26"/>
  <c r="M331" i="26"/>
  <c r="N331" i="26"/>
  <c r="O331" i="26"/>
  <c r="P331" i="26"/>
  <c r="Q331" i="26"/>
  <c r="R331" i="26"/>
  <c r="S331" i="26"/>
  <c r="T331" i="26"/>
  <c r="U331" i="26"/>
  <c r="V331" i="26"/>
  <c r="W331" i="26"/>
  <c r="X331" i="26"/>
  <c r="Y331" i="26"/>
  <c r="Z331" i="26"/>
  <c r="AA331" i="26"/>
  <c r="AB331" i="26"/>
  <c r="AC331" i="26"/>
  <c r="AD331" i="26"/>
  <c r="AE331" i="26"/>
  <c r="AF331" i="26"/>
  <c r="AG331" i="26"/>
  <c r="AH331" i="26"/>
  <c r="AI331" i="26"/>
  <c r="AJ331" i="26"/>
  <c r="AK331" i="26"/>
  <c r="AL331" i="26"/>
  <c r="AM331" i="26"/>
  <c r="AN331" i="26"/>
  <c r="AO331" i="26"/>
  <c r="AP331" i="26"/>
  <c r="AQ331" i="26"/>
  <c r="AR331" i="26"/>
  <c r="AS331" i="26"/>
  <c r="AT331" i="26"/>
  <c r="AU331" i="26"/>
  <c r="AV331" i="26"/>
  <c r="AW331" i="26"/>
  <c r="AX331" i="26"/>
  <c r="AY331" i="26"/>
  <c r="AZ331" i="26"/>
  <c r="BA331" i="26"/>
  <c r="BB331" i="26"/>
  <c r="BC331" i="26"/>
  <c r="BD331" i="26"/>
  <c r="BE331" i="26"/>
  <c r="BF331" i="26"/>
  <c r="BG331" i="26"/>
  <c r="H332" i="26"/>
  <c r="I332" i="26"/>
  <c r="J332" i="26"/>
  <c r="K332" i="26"/>
  <c r="L332" i="26"/>
  <c r="M332" i="26"/>
  <c r="N332" i="26"/>
  <c r="O332" i="26"/>
  <c r="P332" i="26"/>
  <c r="Q332" i="26"/>
  <c r="R332" i="26"/>
  <c r="S332" i="26"/>
  <c r="T332" i="26"/>
  <c r="U332" i="26"/>
  <c r="V332" i="26"/>
  <c r="W332" i="26"/>
  <c r="X332" i="26"/>
  <c r="Y332" i="26"/>
  <c r="Z332" i="26"/>
  <c r="AA332" i="26"/>
  <c r="AB332" i="26"/>
  <c r="AC332" i="26"/>
  <c r="AD332" i="26"/>
  <c r="AE332" i="26"/>
  <c r="AF332" i="26"/>
  <c r="AG332" i="26"/>
  <c r="AH332" i="26"/>
  <c r="AI332" i="26"/>
  <c r="AJ332" i="26"/>
  <c r="AK332" i="26"/>
  <c r="AL332" i="26"/>
  <c r="AM332" i="26"/>
  <c r="AN332" i="26"/>
  <c r="AO332" i="26"/>
  <c r="AP332" i="26"/>
  <c r="AQ332" i="26"/>
  <c r="AR332" i="26"/>
  <c r="AS332" i="26"/>
  <c r="AT332" i="26"/>
  <c r="AU332" i="26"/>
  <c r="AV332" i="26"/>
  <c r="AW332" i="26"/>
  <c r="AX332" i="26"/>
  <c r="AY332" i="26"/>
  <c r="AZ332" i="26"/>
  <c r="BA332" i="26"/>
  <c r="BB332" i="26"/>
  <c r="BC332" i="26"/>
  <c r="BD332" i="26"/>
  <c r="BE332" i="26"/>
  <c r="BF332" i="26"/>
  <c r="BG332" i="26"/>
  <c r="H333" i="26"/>
  <c r="I333" i="26"/>
  <c r="J333" i="26"/>
  <c r="K333" i="26"/>
  <c r="L333" i="26"/>
  <c r="M333" i="26"/>
  <c r="N333" i="26"/>
  <c r="O333" i="26"/>
  <c r="P333" i="26"/>
  <c r="Q333" i="26"/>
  <c r="R333" i="26"/>
  <c r="S333" i="26"/>
  <c r="T333" i="26"/>
  <c r="U333" i="26"/>
  <c r="V333" i="26"/>
  <c r="W333" i="26"/>
  <c r="X333" i="26"/>
  <c r="Y333" i="26"/>
  <c r="Z333" i="26"/>
  <c r="AA333" i="26"/>
  <c r="AB333" i="26"/>
  <c r="AC333" i="26"/>
  <c r="AD333" i="26"/>
  <c r="AE333" i="26"/>
  <c r="AF333" i="26"/>
  <c r="AG333" i="26"/>
  <c r="AH333" i="26"/>
  <c r="AI333" i="26"/>
  <c r="AJ333" i="26"/>
  <c r="AK333" i="26"/>
  <c r="AL333" i="26"/>
  <c r="AM333" i="26"/>
  <c r="AN333" i="26"/>
  <c r="AO333" i="26"/>
  <c r="AP333" i="26"/>
  <c r="AQ333" i="26"/>
  <c r="AR333" i="26"/>
  <c r="AS333" i="26"/>
  <c r="AT333" i="26"/>
  <c r="AU333" i="26"/>
  <c r="AV333" i="26"/>
  <c r="AW333" i="26"/>
  <c r="AX333" i="26"/>
  <c r="AY333" i="26"/>
  <c r="AZ333" i="26"/>
  <c r="BA333" i="26"/>
  <c r="BB333" i="26"/>
  <c r="BC333" i="26"/>
  <c r="BD333" i="26"/>
  <c r="BE333" i="26"/>
  <c r="BF333" i="26"/>
  <c r="BG333" i="26"/>
  <c r="H334" i="26"/>
  <c r="I334" i="26"/>
  <c r="J334" i="26"/>
  <c r="K334" i="26"/>
  <c r="L334" i="26"/>
  <c r="M334" i="26"/>
  <c r="N334" i="26"/>
  <c r="O334" i="26"/>
  <c r="P334" i="26"/>
  <c r="Q334" i="26"/>
  <c r="R334" i="26"/>
  <c r="S334" i="26"/>
  <c r="T334" i="26"/>
  <c r="U334" i="26"/>
  <c r="V334" i="26"/>
  <c r="W334" i="26"/>
  <c r="X334" i="26"/>
  <c r="Y334" i="26"/>
  <c r="Z334" i="26"/>
  <c r="AA334" i="26"/>
  <c r="AB334" i="26"/>
  <c r="AC334" i="26"/>
  <c r="AD334" i="26"/>
  <c r="AE334" i="26"/>
  <c r="AF334" i="26"/>
  <c r="AG334" i="26"/>
  <c r="AH334" i="26"/>
  <c r="AI334" i="26"/>
  <c r="AJ334" i="26"/>
  <c r="AK334" i="26"/>
  <c r="AL334" i="26"/>
  <c r="AM334" i="26"/>
  <c r="AN334" i="26"/>
  <c r="AO334" i="26"/>
  <c r="AP334" i="26"/>
  <c r="AQ334" i="26"/>
  <c r="AR334" i="26"/>
  <c r="AS334" i="26"/>
  <c r="AT334" i="26"/>
  <c r="AU334" i="26"/>
  <c r="AV334" i="26"/>
  <c r="AW334" i="26"/>
  <c r="AX334" i="26"/>
  <c r="AY334" i="26"/>
  <c r="AZ334" i="26"/>
  <c r="BA334" i="26"/>
  <c r="BB334" i="26"/>
  <c r="BC334" i="26"/>
  <c r="BD334" i="26"/>
  <c r="BE334" i="26"/>
  <c r="BF334" i="26"/>
  <c r="BG334" i="26"/>
  <c r="H335" i="26"/>
  <c r="I335" i="26"/>
  <c r="J335" i="26"/>
  <c r="K335" i="26"/>
  <c r="L335" i="26"/>
  <c r="M335" i="26"/>
  <c r="N335" i="26"/>
  <c r="O335" i="26"/>
  <c r="P335" i="26"/>
  <c r="Q335" i="26"/>
  <c r="R335" i="26"/>
  <c r="S335" i="26"/>
  <c r="T335" i="26"/>
  <c r="U335" i="26"/>
  <c r="V335" i="26"/>
  <c r="W335" i="26"/>
  <c r="X335" i="26"/>
  <c r="Y335" i="26"/>
  <c r="Z335" i="26"/>
  <c r="AA335" i="26"/>
  <c r="AB335" i="26"/>
  <c r="AC335" i="26"/>
  <c r="AD335" i="26"/>
  <c r="AE335" i="26"/>
  <c r="AF335" i="26"/>
  <c r="AG335" i="26"/>
  <c r="AH335" i="26"/>
  <c r="AI335" i="26"/>
  <c r="AJ335" i="26"/>
  <c r="AK335" i="26"/>
  <c r="AL335" i="26"/>
  <c r="AM335" i="26"/>
  <c r="AN335" i="26"/>
  <c r="AO335" i="26"/>
  <c r="AP335" i="26"/>
  <c r="AQ335" i="26"/>
  <c r="AR335" i="26"/>
  <c r="AS335" i="26"/>
  <c r="AT335" i="26"/>
  <c r="AU335" i="26"/>
  <c r="AV335" i="26"/>
  <c r="AW335" i="26"/>
  <c r="AX335" i="26"/>
  <c r="AY335" i="26"/>
  <c r="AZ335" i="26"/>
  <c r="BA335" i="26"/>
  <c r="BB335" i="26"/>
  <c r="BC335" i="26"/>
  <c r="BD335" i="26"/>
  <c r="BE335" i="26"/>
  <c r="BF335" i="26"/>
  <c r="BG335" i="26"/>
  <c r="H336" i="26"/>
  <c r="I336" i="26"/>
  <c r="J336" i="26"/>
  <c r="K336" i="26"/>
  <c r="L336" i="26"/>
  <c r="M336" i="26"/>
  <c r="N336" i="26"/>
  <c r="O336" i="26"/>
  <c r="P336" i="26"/>
  <c r="Q336" i="26"/>
  <c r="R336" i="26"/>
  <c r="S336" i="26"/>
  <c r="T336" i="26"/>
  <c r="U336" i="26"/>
  <c r="V336" i="26"/>
  <c r="W336" i="26"/>
  <c r="X336" i="26"/>
  <c r="Y336" i="26"/>
  <c r="Z336" i="26"/>
  <c r="AA336" i="26"/>
  <c r="AB336" i="26"/>
  <c r="AC336" i="26"/>
  <c r="AD336" i="26"/>
  <c r="AE336" i="26"/>
  <c r="AF336" i="26"/>
  <c r="AG336" i="26"/>
  <c r="AH336" i="26"/>
  <c r="AI336" i="26"/>
  <c r="AJ336" i="26"/>
  <c r="AK336" i="26"/>
  <c r="AL336" i="26"/>
  <c r="AM336" i="26"/>
  <c r="AN336" i="26"/>
  <c r="AO336" i="26"/>
  <c r="AP336" i="26"/>
  <c r="AQ336" i="26"/>
  <c r="AR336" i="26"/>
  <c r="AS336" i="26"/>
  <c r="AT336" i="26"/>
  <c r="AU336" i="26"/>
  <c r="AV336" i="26"/>
  <c r="AW336" i="26"/>
  <c r="AX336" i="26"/>
  <c r="AY336" i="26"/>
  <c r="AZ336" i="26"/>
  <c r="BA336" i="26"/>
  <c r="BB336" i="26"/>
  <c r="BC336" i="26"/>
  <c r="BD336" i="26"/>
  <c r="BE336" i="26"/>
  <c r="BF336" i="26"/>
  <c r="BG336" i="26"/>
  <c r="H337" i="26"/>
  <c r="I337" i="26"/>
  <c r="J337" i="26"/>
  <c r="K337" i="26"/>
  <c r="L337" i="26"/>
  <c r="M337" i="26"/>
  <c r="N337" i="26"/>
  <c r="O337" i="26"/>
  <c r="P337" i="26"/>
  <c r="Q337" i="26"/>
  <c r="R337" i="26"/>
  <c r="S337" i="26"/>
  <c r="T337" i="26"/>
  <c r="U337" i="26"/>
  <c r="V337" i="26"/>
  <c r="W337" i="26"/>
  <c r="X337" i="26"/>
  <c r="Y337" i="26"/>
  <c r="Z337" i="26"/>
  <c r="AA337" i="26"/>
  <c r="AB337" i="26"/>
  <c r="AC337" i="26"/>
  <c r="AD337" i="26"/>
  <c r="AE337" i="26"/>
  <c r="AF337" i="26"/>
  <c r="AG337" i="26"/>
  <c r="AH337" i="26"/>
  <c r="AI337" i="26"/>
  <c r="AJ337" i="26"/>
  <c r="AK337" i="26"/>
  <c r="AL337" i="26"/>
  <c r="AM337" i="26"/>
  <c r="AN337" i="26"/>
  <c r="AO337" i="26"/>
  <c r="AP337" i="26"/>
  <c r="AQ337" i="26"/>
  <c r="AR337" i="26"/>
  <c r="AS337" i="26"/>
  <c r="AT337" i="26"/>
  <c r="AU337" i="26"/>
  <c r="AV337" i="26"/>
  <c r="AW337" i="26"/>
  <c r="AX337" i="26"/>
  <c r="AY337" i="26"/>
  <c r="AZ337" i="26"/>
  <c r="BA337" i="26"/>
  <c r="BB337" i="26"/>
  <c r="BC337" i="26"/>
  <c r="BD337" i="26"/>
  <c r="BE337" i="26"/>
  <c r="BF337" i="26"/>
  <c r="BG337" i="26"/>
  <c r="H338" i="26"/>
  <c r="I338" i="26"/>
  <c r="J338" i="26"/>
  <c r="K338" i="26"/>
  <c r="L338" i="26"/>
  <c r="M338" i="26"/>
  <c r="N338" i="26"/>
  <c r="O338" i="26"/>
  <c r="P338" i="26"/>
  <c r="Q338" i="26"/>
  <c r="R338" i="26"/>
  <c r="S338" i="26"/>
  <c r="T338" i="26"/>
  <c r="U338" i="26"/>
  <c r="V338" i="26"/>
  <c r="W338" i="26"/>
  <c r="X338" i="26"/>
  <c r="Y338" i="26"/>
  <c r="Z338" i="26"/>
  <c r="AA338" i="26"/>
  <c r="AB338" i="26"/>
  <c r="AC338" i="26"/>
  <c r="AD338" i="26"/>
  <c r="AE338" i="26"/>
  <c r="AF338" i="26"/>
  <c r="AG338" i="26"/>
  <c r="AH338" i="26"/>
  <c r="AI338" i="26"/>
  <c r="AJ338" i="26"/>
  <c r="AK338" i="26"/>
  <c r="AL338" i="26"/>
  <c r="AM338" i="26"/>
  <c r="AN338" i="26"/>
  <c r="AO338" i="26"/>
  <c r="AP338" i="26"/>
  <c r="AQ338" i="26"/>
  <c r="AR338" i="26"/>
  <c r="AS338" i="26"/>
  <c r="AT338" i="26"/>
  <c r="AU338" i="26"/>
  <c r="AV338" i="26"/>
  <c r="AW338" i="26"/>
  <c r="AX338" i="26"/>
  <c r="AY338" i="26"/>
  <c r="AZ338" i="26"/>
  <c r="BA338" i="26"/>
  <c r="BB338" i="26"/>
  <c r="BC338" i="26"/>
  <c r="BD338" i="26"/>
  <c r="BE338" i="26"/>
  <c r="BF338" i="26"/>
  <c r="BG338" i="26"/>
  <c r="H339" i="26"/>
  <c r="I339" i="26"/>
  <c r="J339" i="26"/>
  <c r="K339" i="26"/>
  <c r="L339" i="26"/>
  <c r="M339" i="26"/>
  <c r="N339" i="26"/>
  <c r="O339" i="26"/>
  <c r="P339" i="26"/>
  <c r="Q339" i="26"/>
  <c r="R339" i="26"/>
  <c r="S339" i="26"/>
  <c r="T339" i="26"/>
  <c r="U339" i="26"/>
  <c r="V339" i="26"/>
  <c r="W339" i="26"/>
  <c r="X339" i="26"/>
  <c r="Y339" i="26"/>
  <c r="Z339" i="26"/>
  <c r="AA339" i="26"/>
  <c r="AB339" i="26"/>
  <c r="AC339" i="26"/>
  <c r="AD339" i="26"/>
  <c r="AE339" i="26"/>
  <c r="AF339" i="26"/>
  <c r="AG339" i="26"/>
  <c r="AH339" i="26"/>
  <c r="AI339" i="26"/>
  <c r="AJ339" i="26"/>
  <c r="AK339" i="26"/>
  <c r="AL339" i="26"/>
  <c r="AM339" i="26"/>
  <c r="AN339" i="26"/>
  <c r="AO339" i="26"/>
  <c r="AP339" i="26"/>
  <c r="AQ339" i="26"/>
  <c r="AR339" i="26"/>
  <c r="AS339" i="26"/>
  <c r="AT339" i="26"/>
  <c r="AU339" i="26"/>
  <c r="AV339" i="26"/>
  <c r="AW339" i="26"/>
  <c r="AX339" i="26"/>
  <c r="AY339" i="26"/>
  <c r="AZ339" i="26"/>
  <c r="BA339" i="26"/>
  <c r="BB339" i="26"/>
  <c r="BC339" i="26"/>
  <c r="BD339" i="26"/>
  <c r="BE339" i="26"/>
  <c r="BF339" i="26"/>
  <c r="BG339" i="26"/>
  <c r="H340" i="26"/>
  <c r="I340" i="26"/>
  <c r="J340" i="26"/>
  <c r="K340" i="26"/>
  <c r="L340" i="26"/>
  <c r="M340" i="26"/>
  <c r="N340" i="26"/>
  <c r="O340" i="26"/>
  <c r="P340" i="26"/>
  <c r="Q340" i="26"/>
  <c r="R340" i="26"/>
  <c r="S340" i="26"/>
  <c r="T340" i="26"/>
  <c r="U340" i="26"/>
  <c r="V340" i="26"/>
  <c r="W340" i="26"/>
  <c r="X340" i="26"/>
  <c r="Y340" i="26"/>
  <c r="Z340" i="26"/>
  <c r="AA340" i="26"/>
  <c r="AB340" i="26"/>
  <c r="AC340" i="26"/>
  <c r="AD340" i="26"/>
  <c r="AE340" i="26"/>
  <c r="AF340" i="26"/>
  <c r="AG340" i="26"/>
  <c r="AH340" i="26"/>
  <c r="AI340" i="26"/>
  <c r="AJ340" i="26"/>
  <c r="AK340" i="26"/>
  <c r="AL340" i="26"/>
  <c r="AM340" i="26"/>
  <c r="AN340" i="26"/>
  <c r="AO340" i="26"/>
  <c r="AP340" i="26"/>
  <c r="AQ340" i="26"/>
  <c r="AR340" i="26"/>
  <c r="AS340" i="26"/>
  <c r="AT340" i="26"/>
  <c r="AU340" i="26"/>
  <c r="AV340" i="26"/>
  <c r="AW340" i="26"/>
  <c r="AX340" i="26"/>
  <c r="AY340" i="26"/>
  <c r="AZ340" i="26"/>
  <c r="BA340" i="26"/>
  <c r="BB340" i="26"/>
  <c r="BC340" i="26"/>
  <c r="BD340" i="26"/>
  <c r="BE340" i="26"/>
  <c r="BF340" i="26"/>
  <c r="BG340" i="26"/>
  <c r="H341" i="26"/>
  <c r="I341" i="26"/>
  <c r="J341" i="26"/>
  <c r="K341" i="26"/>
  <c r="L341" i="26"/>
  <c r="M341" i="26"/>
  <c r="N341" i="26"/>
  <c r="O341" i="26"/>
  <c r="P341" i="26"/>
  <c r="Q341" i="26"/>
  <c r="R341" i="26"/>
  <c r="S341" i="26"/>
  <c r="T341" i="26"/>
  <c r="U341" i="26"/>
  <c r="V341" i="26"/>
  <c r="W341" i="26"/>
  <c r="X341" i="26"/>
  <c r="Y341" i="26"/>
  <c r="Z341" i="26"/>
  <c r="AA341" i="26"/>
  <c r="AB341" i="26"/>
  <c r="AC341" i="26"/>
  <c r="AD341" i="26"/>
  <c r="AE341" i="26"/>
  <c r="AF341" i="26"/>
  <c r="AG341" i="26"/>
  <c r="AH341" i="26"/>
  <c r="AI341" i="26"/>
  <c r="AJ341" i="26"/>
  <c r="AK341" i="26"/>
  <c r="AL341" i="26"/>
  <c r="AM341" i="26"/>
  <c r="AN341" i="26"/>
  <c r="AO341" i="26"/>
  <c r="AP341" i="26"/>
  <c r="AQ341" i="26"/>
  <c r="AR341" i="26"/>
  <c r="AS341" i="26"/>
  <c r="AT341" i="26"/>
  <c r="AU341" i="26"/>
  <c r="AV341" i="26"/>
  <c r="AW341" i="26"/>
  <c r="AX341" i="26"/>
  <c r="AY341" i="26"/>
  <c r="AZ341" i="26"/>
  <c r="BA341" i="26"/>
  <c r="BB341" i="26"/>
  <c r="BC341" i="26"/>
  <c r="BD341" i="26"/>
  <c r="BE341" i="26"/>
  <c r="BF341" i="26"/>
  <c r="BG341" i="26"/>
  <c r="H342" i="26"/>
  <c r="I342" i="26"/>
  <c r="J342" i="26"/>
  <c r="K342" i="26"/>
  <c r="L342" i="26"/>
  <c r="M342" i="26"/>
  <c r="N342" i="26"/>
  <c r="O342" i="26"/>
  <c r="P342" i="26"/>
  <c r="Q342" i="26"/>
  <c r="R342" i="26"/>
  <c r="S342" i="26"/>
  <c r="T342" i="26"/>
  <c r="U342" i="26"/>
  <c r="V342" i="26"/>
  <c r="W342" i="26"/>
  <c r="X342" i="26"/>
  <c r="Y342" i="26"/>
  <c r="Z342" i="26"/>
  <c r="AA342" i="26"/>
  <c r="AB342" i="26"/>
  <c r="AC342" i="26"/>
  <c r="AD342" i="26"/>
  <c r="AE342" i="26"/>
  <c r="AF342" i="26"/>
  <c r="AG342" i="26"/>
  <c r="AH342" i="26"/>
  <c r="AI342" i="26"/>
  <c r="AJ342" i="26"/>
  <c r="AK342" i="26"/>
  <c r="AL342" i="26"/>
  <c r="AM342" i="26"/>
  <c r="AN342" i="26"/>
  <c r="AO342" i="26"/>
  <c r="AP342" i="26"/>
  <c r="AQ342" i="26"/>
  <c r="AR342" i="26"/>
  <c r="AS342" i="26"/>
  <c r="AT342" i="26"/>
  <c r="AU342" i="26"/>
  <c r="AV342" i="26"/>
  <c r="AW342" i="26"/>
  <c r="AX342" i="26"/>
  <c r="AY342" i="26"/>
  <c r="AZ342" i="26"/>
  <c r="BA342" i="26"/>
  <c r="BB342" i="26"/>
  <c r="BC342" i="26"/>
  <c r="BD342" i="26"/>
  <c r="BE342" i="26"/>
  <c r="BF342" i="26"/>
  <c r="BG342" i="26"/>
  <c r="H343" i="26"/>
  <c r="I343" i="26"/>
  <c r="J343" i="26"/>
  <c r="K343" i="26"/>
  <c r="L343" i="26"/>
  <c r="M343" i="26"/>
  <c r="N343" i="26"/>
  <c r="O343" i="26"/>
  <c r="P343" i="26"/>
  <c r="Q343" i="26"/>
  <c r="R343" i="26"/>
  <c r="S343" i="26"/>
  <c r="T343" i="26"/>
  <c r="U343" i="26"/>
  <c r="V343" i="26"/>
  <c r="W343" i="26"/>
  <c r="X343" i="26"/>
  <c r="Y343" i="26"/>
  <c r="Z343" i="26"/>
  <c r="AA343" i="26"/>
  <c r="AB343" i="26"/>
  <c r="AC343" i="26"/>
  <c r="AD343" i="26"/>
  <c r="AE343" i="26"/>
  <c r="AF343" i="26"/>
  <c r="AG343" i="26"/>
  <c r="AH343" i="26"/>
  <c r="AI343" i="26"/>
  <c r="AJ343" i="26"/>
  <c r="AK343" i="26"/>
  <c r="AL343" i="26"/>
  <c r="AM343" i="26"/>
  <c r="AN343" i="26"/>
  <c r="AO343" i="26"/>
  <c r="AP343" i="26"/>
  <c r="AQ343" i="26"/>
  <c r="AR343" i="26"/>
  <c r="AS343" i="26"/>
  <c r="AT343" i="26"/>
  <c r="AU343" i="26"/>
  <c r="AV343" i="26"/>
  <c r="AW343" i="26"/>
  <c r="AX343" i="26"/>
  <c r="AY343" i="26"/>
  <c r="AZ343" i="26"/>
  <c r="BA343" i="26"/>
  <c r="BB343" i="26"/>
  <c r="BC343" i="26"/>
  <c r="BD343" i="26"/>
  <c r="BE343" i="26"/>
  <c r="BF343" i="26"/>
  <c r="BG343" i="26"/>
  <c r="H344" i="26"/>
  <c r="I344" i="26"/>
  <c r="J344" i="26"/>
  <c r="K344" i="26"/>
  <c r="L344" i="26"/>
  <c r="M344" i="26"/>
  <c r="N344" i="26"/>
  <c r="O344" i="26"/>
  <c r="P344" i="26"/>
  <c r="Q344" i="26"/>
  <c r="R344" i="26"/>
  <c r="S344" i="26"/>
  <c r="T344" i="26"/>
  <c r="U344" i="26"/>
  <c r="V344" i="26"/>
  <c r="W344" i="26"/>
  <c r="X344" i="26"/>
  <c r="Y344" i="26"/>
  <c r="Z344" i="26"/>
  <c r="AA344" i="26"/>
  <c r="AB344" i="26"/>
  <c r="AC344" i="26"/>
  <c r="AD344" i="26"/>
  <c r="AE344" i="26"/>
  <c r="AF344" i="26"/>
  <c r="AG344" i="26"/>
  <c r="AH344" i="26"/>
  <c r="AI344" i="26"/>
  <c r="AJ344" i="26"/>
  <c r="AK344" i="26"/>
  <c r="AL344" i="26"/>
  <c r="AM344" i="26"/>
  <c r="AN344" i="26"/>
  <c r="AO344" i="26"/>
  <c r="AP344" i="26"/>
  <c r="AQ344" i="26"/>
  <c r="AR344" i="26"/>
  <c r="AS344" i="26"/>
  <c r="AT344" i="26"/>
  <c r="AU344" i="26"/>
  <c r="AV344" i="26"/>
  <c r="AW344" i="26"/>
  <c r="AX344" i="26"/>
  <c r="AY344" i="26"/>
  <c r="AZ344" i="26"/>
  <c r="BA344" i="26"/>
  <c r="BB344" i="26"/>
  <c r="BC344" i="26"/>
  <c r="BD344" i="26"/>
  <c r="BE344" i="26"/>
  <c r="BF344" i="26"/>
  <c r="BG344" i="26"/>
  <c r="H345" i="26"/>
  <c r="I345" i="26"/>
  <c r="J345" i="26"/>
  <c r="K345" i="26"/>
  <c r="L345" i="26"/>
  <c r="M345" i="26"/>
  <c r="N345" i="26"/>
  <c r="O345" i="26"/>
  <c r="P345" i="26"/>
  <c r="Q345" i="26"/>
  <c r="R345" i="26"/>
  <c r="S345" i="26"/>
  <c r="T345" i="26"/>
  <c r="U345" i="26"/>
  <c r="V345" i="26"/>
  <c r="W345" i="26"/>
  <c r="X345" i="26"/>
  <c r="Y345" i="26"/>
  <c r="Z345" i="26"/>
  <c r="AA345" i="26"/>
  <c r="AB345" i="26"/>
  <c r="AC345" i="26"/>
  <c r="AD345" i="26"/>
  <c r="AE345" i="26"/>
  <c r="AF345" i="26"/>
  <c r="AG345" i="26"/>
  <c r="AH345" i="26"/>
  <c r="AI345" i="26"/>
  <c r="AJ345" i="26"/>
  <c r="AK345" i="26"/>
  <c r="AL345" i="26"/>
  <c r="AM345" i="26"/>
  <c r="AN345" i="26"/>
  <c r="AO345" i="26"/>
  <c r="AP345" i="26"/>
  <c r="AQ345" i="26"/>
  <c r="AR345" i="26"/>
  <c r="AS345" i="26"/>
  <c r="AT345" i="26"/>
  <c r="AU345" i="26"/>
  <c r="AV345" i="26"/>
  <c r="AW345" i="26"/>
  <c r="AX345" i="26"/>
  <c r="AY345" i="26"/>
  <c r="AZ345" i="26"/>
  <c r="BA345" i="26"/>
  <c r="BB345" i="26"/>
  <c r="BC345" i="26"/>
  <c r="BD345" i="26"/>
  <c r="BE345" i="26"/>
  <c r="BF345" i="26"/>
  <c r="BG345" i="26"/>
  <c r="H346" i="26"/>
  <c r="I346" i="26"/>
  <c r="J346" i="26"/>
  <c r="K346" i="26"/>
  <c r="L346" i="26"/>
  <c r="M346" i="26"/>
  <c r="N346" i="26"/>
  <c r="O346" i="26"/>
  <c r="P346" i="26"/>
  <c r="Q346" i="26"/>
  <c r="R346" i="26"/>
  <c r="S346" i="26"/>
  <c r="T346" i="26"/>
  <c r="U346" i="26"/>
  <c r="V346" i="26"/>
  <c r="W346" i="26"/>
  <c r="X346" i="26"/>
  <c r="Y346" i="26"/>
  <c r="Z346" i="26"/>
  <c r="AA346" i="26"/>
  <c r="AB346" i="26"/>
  <c r="AC346" i="26"/>
  <c r="AD346" i="26"/>
  <c r="AE346" i="26"/>
  <c r="AF346" i="26"/>
  <c r="AG346" i="26"/>
  <c r="AH346" i="26"/>
  <c r="AI346" i="26"/>
  <c r="AJ346" i="26"/>
  <c r="AK346" i="26"/>
  <c r="AL346" i="26"/>
  <c r="AM346" i="26"/>
  <c r="AN346" i="26"/>
  <c r="AO346" i="26"/>
  <c r="AP346" i="26"/>
  <c r="AQ346" i="26"/>
  <c r="AR346" i="26"/>
  <c r="AS346" i="26"/>
  <c r="AT346" i="26"/>
  <c r="AU346" i="26"/>
  <c r="AV346" i="26"/>
  <c r="AW346" i="26"/>
  <c r="AX346" i="26"/>
  <c r="AY346" i="26"/>
  <c r="AZ346" i="26"/>
  <c r="BA346" i="26"/>
  <c r="BB346" i="26"/>
  <c r="BC346" i="26"/>
  <c r="BD346" i="26"/>
  <c r="BE346" i="26"/>
  <c r="BF346" i="26"/>
  <c r="BG346" i="26"/>
  <c r="H347" i="26"/>
  <c r="I347" i="26"/>
  <c r="J347" i="26"/>
  <c r="K347" i="26"/>
  <c r="L347" i="26"/>
  <c r="M347" i="26"/>
  <c r="N347" i="26"/>
  <c r="O347" i="26"/>
  <c r="P347" i="26"/>
  <c r="Q347" i="26"/>
  <c r="R347" i="26"/>
  <c r="S347" i="26"/>
  <c r="T347" i="26"/>
  <c r="U347" i="26"/>
  <c r="V347" i="26"/>
  <c r="W347" i="26"/>
  <c r="X347" i="26"/>
  <c r="Y347" i="26"/>
  <c r="Z347" i="26"/>
  <c r="AA347" i="26"/>
  <c r="AB347" i="26"/>
  <c r="AC347" i="26"/>
  <c r="AD347" i="26"/>
  <c r="AE347" i="26"/>
  <c r="AF347" i="26"/>
  <c r="AG347" i="26"/>
  <c r="AH347" i="26"/>
  <c r="AI347" i="26"/>
  <c r="AJ347" i="26"/>
  <c r="AK347" i="26"/>
  <c r="AL347" i="26"/>
  <c r="AM347" i="26"/>
  <c r="AN347" i="26"/>
  <c r="AO347" i="26"/>
  <c r="AP347" i="26"/>
  <c r="AQ347" i="26"/>
  <c r="AR347" i="26"/>
  <c r="AS347" i="26"/>
  <c r="AT347" i="26"/>
  <c r="AU347" i="26"/>
  <c r="AV347" i="26"/>
  <c r="AW347" i="26"/>
  <c r="AX347" i="26"/>
  <c r="AY347" i="26"/>
  <c r="AZ347" i="26"/>
  <c r="BA347" i="26"/>
  <c r="BB347" i="26"/>
  <c r="BC347" i="26"/>
  <c r="BD347" i="26"/>
  <c r="BE347" i="26"/>
  <c r="BF347" i="26"/>
  <c r="BG347" i="26"/>
  <c r="H348" i="26"/>
  <c r="I348" i="26"/>
  <c r="J348" i="26"/>
  <c r="K348" i="26"/>
  <c r="L348" i="26"/>
  <c r="M348" i="26"/>
  <c r="N348" i="26"/>
  <c r="O348" i="26"/>
  <c r="P348" i="26"/>
  <c r="Q348" i="26"/>
  <c r="R348" i="26"/>
  <c r="S348" i="26"/>
  <c r="T348" i="26"/>
  <c r="U348" i="26"/>
  <c r="V348" i="26"/>
  <c r="W348" i="26"/>
  <c r="X348" i="26"/>
  <c r="Y348" i="26"/>
  <c r="Z348" i="26"/>
  <c r="AA348" i="26"/>
  <c r="AB348" i="26"/>
  <c r="AC348" i="26"/>
  <c r="AD348" i="26"/>
  <c r="AE348" i="26"/>
  <c r="AF348" i="26"/>
  <c r="AG348" i="26"/>
  <c r="AH348" i="26"/>
  <c r="AI348" i="26"/>
  <c r="AJ348" i="26"/>
  <c r="AK348" i="26"/>
  <c r="AL348" i="26"/>
  <c r="AM348" i="26"/>
  <c r="AN348" i="26"/>
  <c r="AO348" i="26"/>
  <c r="AP348" i="26"/>
  <c r="AQ348" i="26"/>
  <c r="AR348" i="26"/>
  <c r="AS348" i="26"/>
  <c r="AT348" i="26"/>
  <c r="AU348" i="26"/>
  <c r="AV348" i="26"/>
  <c r="AW348" i="26"/>
  <c r="AX348" i="26"/>
  <c r="AY348" i="26"/>
  <c r="AZ348" i="26"/>
  <c r="BA348" i="26"/>
  <c r="BB348" i="26"/>
  <c r="BC348" i="26"/>
  <c r="BD348" i="26"/>
  <c r="BE348" i="26"/>
  <c r="BF348" i="26"/>
  <c r="BG348" i="26"/>
  <c r="H349" i="26"/>
  <c r="I349" i="26"/>
  <c r="J349" i="26"/>
  <c r="K349" i="26"/>
  <c r="L349" i="26"/>
  <c r="M349" i="26"/>
  <c r="N349" i="26"/>
  <c r="O349" i="26"/>
  <c r="P349" i="26"/>
  <c r="Q349" i="26"/>
  <c r="R349" i="26"/>
  <c r="S349" i="26"/>
  <c r="T349" i="26"/>
  <c r="U349" i="26"/>
  <c r="V349" i="26"/>
  <c r="W349" i="26"/>
  <c r="X349" i="26"/>
  <c r="Y349" i="26"/>
  <c r="Z349" i="26"/>
  <c r="AA349" i="26"/>
  <c r="AB349" i="26"/>
  <c r="AC349" i="26"/>
  <c r="AD349" i="26"/>
  <c r="AE349" i="26"/>
  <c r="AF349" i="26"/>
  <c r="AG349" i="26"/>
  <c r="AH349" i="26"/>
  <c r="AI349" i="26"/>
  <c r="AJ349" i="26"/>
  <c r="AK349" i="26"/>
  <c r="AL349" i="26"/>
  <c r="AM349" i="26"/>
  <c r="AN349" i="26"/>
  <c r="AO349" i="26"/>
  <c r="AP349" i="26"/>
  <c r="AQ349" i="26"/>
  <c r="AR349" i="26"/>
  <c r="AS349" i="26"/>
  <c r="AT349" i="26"/>
  <c r="AU349" i="26"/>
  <c r="AV349" i="26"/>
  <c r="AW349" i="26"/>
  <c r="AX349" i="26"/>
  <c r="AY349" i="26"/>
  <c r="AZ349" i="26"/>
  <c r="BA349" i="26"/>
  <c r="BB349" i="26"/>
  <c r="BC349" i="26"/>
  <c r="BD349" i="26"/>
  <c r="BE349" i="26"/>
  <c r="BF349" i="26"/>
  <c r="BG349" i="26"/>
  <c r="H350" i="26"/>
  <c r="I350" i="26"/>
  <c r="J350" i="26"/>
  <c r="K350" i="26"/>
  <c r="L350" i="26"/>
  <c r="M350" i="26"/>
  <c r="N350" i="26"/>
  <c r="O350" i="26"/>
  <c r="P350" i="26"/>
  <c r="Q350" i="26"/>
  <c r="R350" i="26"/>
  <c r="S350" i="26"/>
  <c r="T350" i="26"/>
  <c r="U350" i="26"/>
  <c r="V350" i="26"/>
  <c r="W350" i="26"/>
  <c r="X350" i="26"/>
  <c r="Y350" i="26"/>
  <c r="Z350" i="26"/>
  <c r="AA350" i="26"/>
  <c r="AB350" i="26"/>
  <c r="AC350" i="26"/>
  <c r="AD350" i="26"/>
  <c r="AE350" i="26"/>
  <c r="AF350" i="26"/>
  <c r="AG350" i="26"/>
  <c r="AH350" i="26"/>
  <c r="AI350" i="26"/>
  <c r="AJ350" i="26"/>
  <c r="AK350" i="26"/>
  <c r="AL350" i="26"/>
  <c r="AM350" i="26"/>
  <c r="AN350" i="26"/>
  <c r="AO350" i="26"/>
  <c r="AP350" i="26"/>
  <c r="AQ350" i="26"/>
  <c r="AR350" i="26"/>
  <c r="AS350" i="26"/>
  <c r="AT350" i="26"/>
  <c r="AU350" i="26"/>
  <c r="AV350" i="26"/>
  <c r="AW350" i="26"/>
  <c r="AX350" i="26"/>
  <c r="AY350" i="26"/>
  <c r="AZ350" i="26"/>
  <c r="BA350" i="26"/>
  <c r="BB350" i="26"/>
  <c r="BC350" i="26"/>
  <c r="BD350" i="26"/>
  <c r="BE350" i="26"/>
  <c r="BF350" i="26"/>
  <c r="BG350" i="26"/>
  <c r="H351" i="26"/>
  <c r="I351" i="26"/>
  <c r="J351" i="26"/>
  <c r="K351" i="26"/>
  <c r="L351" i="26"/>
  <c r="M351" i="26"/>
  <c r="N351" i="26"/>
  <c r="O351" i="26"/>
  <c r="P351" i="26"/>
  <c r="Q351" i="26"/>
  <c r="R351" i="26"/>
  <c r="S351" i="26"/>
  <c r="T351" i="26"/>
  <c r="U351" i="26"/>
  <c r="V351" i="26"/>
  <c r="W351" i="26"/>
  <c r="X351" i="26"/>
  <c r="Y351" i="26"/>
  <c r="Z351" i="26"/>
  <c r="AA351" i="26"/>
  <c r="AB351" i="26"/>
  <c r="AC351" i="26"/>
  <c r="AD351" i="26"/>
  <c r="AE351" i="26"/>
  <c r="AF351" i="26"/>
  <c r="AG351" i="26"/>
  <c r="AH351" i="26"/>
  <c r="AI351" i="26"/>
  <c r="AJ351" i="26"/>
  <c r="AK351" i="26"/>
  <c r="AL351" i="26"/>
  <c r="AM351" i="26"/>
  <c r="AN351" i="26"/>
  <c r="AO351" i="26"/>
  <c r="AP351" i="26"/>
  <c r="AQ351" i="26"/>
  <c r="AR351" i="26"/>
  <c r="AS351" i="26"/>
  <c r="AT351" i="26"/>
  <c r="AU351" i="26"/>
  <c r="AV351" i="26"/>
  <c r="AW351" i="26"/>
  <c r="AX351" i="26"/>
  <c r="AY351" i="26"/>
  <c r="AZ351" i="26"/>
  <c r="BA351" i="26"/>
  <c r="BB351" i="26"/>
  <c r="BC351" i="26"/>
  <c r="BD351" i="26"/>
  <c r="BE351" i="26"/>
  <c r="BF351" i="26"/>
  <c r="BG351" i="26"/>
  <c r="H352" i="26"/>
  <c r="I352" i="26"/>
  <c r="J352" i="26"/>
  <c r="K352" i="26"/>
  <c r="L352" i="26"/>
  <c r="M352" i="26"/>
  <c r="N352" i="26"/>
  <c r="O352" i="26"/>
  <c r="P352" i="26"/>
  <c r="Q352" i="26"/>
  <c r="R352" i="26"/>
  <c r="S352" i="26"/>
  <c r="T352" i="26"/>
  <c r="U352" i="26"/>
  <c r="V352" i="26"/>
  <c r="W352" i="26"/>
  <c r="X352" i="26"/>
  <c r="Y352" i="26"/>
  <c r="Z352" i="26"/>
  <c r="AA352" i="26"/>
  <c r="AB352" i="26"/>
  <c r="AC352" i="26"/>
  <c r="AD352" i="26"/>
  <c r="AE352" i="26"/>
  <c r="AF352" i="26"/>
  <c r="AG352" i="26"/>
  <c r="AH352" i="26"/>
  <c r="AI352" i="26"/>
  <c r="AJ352" i="26"/>
  <c r="AK352" i="26"/>
  <c r="AL352" i="26"/>
  <c r="AM352" i="26"/>
  <c r="AN352" i="26"/>
  <c r="AO352" i="26"/>
  <c r="AP352" i="26"/>
  <c r="AQ352" i="26"/>
  <c r="AR352" i="26"/>
  <c r="AS352" i="26"/>
  <c r="AT352" i="26"/>
  <c r="AU352" i="26"/>
  <c r="AV352" i="26"/>
  <c r="AW352" i="26"/>
  <c r="AX352" i="26"/>
  <c r="AY352" i="26"/>
  <c r="AZ352" i="26"/>
  <c r="BA352" i="26"/>
  <c r="BB352" i="26"/>
  <c r="BC352" i="26"/>
  <c r="BD352" i="26"/>
  <c r="BE352" i="26"/>
  <c r="BF352" i="26"/>
  <c r="BG352" i="26"/>
  <c r="H353" i="26"/>
  <c r="I353" i="26"/>
  <c r="J353" i="26"/>
  <c r="K353" i="26"/>
  <c r="L353" i="26"/>
  <c r="M353" i="26"/>
  <c r="N353" i="26"/>
  <c r="O353" i="26"/>
  <c r="P353" i="26"/>
  <c r="Q353" i="26"/>
  <c r="R353" i="26"/>
  <c r="S353" i="26"/>
  <c r="T353" i="26"/>
  <c r="U353" i="26"/>
  <c r="V353" i="26"/>
  <c r="W353" i="26"/>
  <c r="X353" i="26"/>
  <c r="Y353" i="26"/>
  <c r="Z353" i="26"/>
  <c r="AA353" i="26"/>
  <c r="AB353" i="26"/>
  <c r="AC353" i="26"/>
  <c r="AD353" i="26"/>
  <c r="AE353" i="26"/>
  <c r="AF353" i="26"/>
  <c r="AG353" i="26"/>
  <c r="AH353" i="26"/>
  <c r="AI353" i="26"/>
  <c r="AJ353" i="26"/>
  <c r="AK353" i="26"/>
  <c r="AL353" i="26"/>
  <c r="AM353" i="26"/>
  <c r="AN353" i="26"/>
  <c r="AO353" i="26"/>
  <c r="AP353" i="26"/>
  <c r="AQ353" i="26"/>
  <c r="AR353" i="26"/>
  <c r="AS353" i="26"/>
  <c r="AT353" i="26"/>
  <c r="AU353" i="26"/>
  <c r="AV353" i="26"/>
  <c r="AW353" i="26"/>
  <c r="AX353" i="26"/>
  <c r="AY353" i="26"/>
  <c r="AZ353" i="26"/>
  <c r="BA353" i="26"/>
  <c r="BB353" i="26"/>
  <c r="BC353" i="26"/>
  <c r="BD353" i="26"/>
  <c r="BE353" i="26"/>
  <c r="BF353" i="26"/>
  <c r="BG353" i="26"/>
  <c r="H354" i="26"/>
  <c r="I354" i="26"/>
  <c r="J354" i="26"/>
  <c r="K354" i="26"/>
  <c r="L354" i="26"/>
  <c r="M354" i="26"/>
  <c r="N354" i="26"/>
  <c r="O354" i="26"/>
  <c r="P354" i="26"/>
  <c r="Q354" i="26"/>
  <c r="R354" i="26"/>
  <c r="S354" i="26"/>
  <c r="T354" i="26"/>
  <c r="U354" i="26"/>
  <c r="V354" i="26"/>
  <c r="W354" i="26"/>
  <c r="X354" i="26"/>
  <c r="Y354" i="26"/>
  <c r="Z354" i="26"/>
  <c r="AA354" i="26"/>
  <c r="AB354" i="26"/>
  <c r="AC354" i="26"/>
  <c r="AD354" i="26"/>
  <c r="AE354" i="26"/>
  <c r="AF354" i="26"/>
  <c r="AG354" i="26"/>
  <c r="AH354" i="26"/>
  <c r="AI354" i="26"/>
  <c r="AJ354" i="26"/>
  <c r="AK354" i="26"/>
  <c r="AL354" i="26"/>
  <c r="AM354" i="26"/>
  <c r="AN354" i="26"/>
  <c r="AO354" i="26"/>
  <c r="AP354" i="26"/>
  <c r="AQ354" i="26"/>
  <c r="AR354" i="26"/>
  <c r="AS354" i="26"/>
  <c r="AT354" i="26"/>
  <c r="AU354" i="26"/>
  <c r="AV354" i="26"/>
  <c r="AW354" i="26"/>
  <c r="AX354" i="26"/>
  <c r="AY354" i="26"/>
  <c r="AZ354" i="26"/>
  <c r="BA354" i="26"/>
  <c r="BB354" i="26"/>
  <c r="BC354" i="26"/>
  <c r="BD354" i="26"/>
  <c r="BE354" i="26"/>
  <c r="BF354" i="26"/>
  <c r="BG354" i="26"/>
  <c r="H355" i="26"/>
  <c r="I355" i="26"/>
  <c r="J355" i="26"/>
  <c r="K355" i="26"/>
  <c r="L355" i="26"/>
  <c r="M355" i="26"/>
  <c r="N355" i="26"/>
  <c r="O355" i="26"/>
  <c r="P355" i="26"/>
  <c r="Q355" i="26"/>
  <c r="R355" i="26"/>
  <c r="S355" i="26"/>
  <c r="T355" i="26"/>
  <c r="U355" i="26"/>
  <c r="V355" i="26"/>
  <c r="W355" i="26"/>
  <c r="X355" i="26"/>
  <c r="Y355" i="26"/>
  <c r="Z355" i="26"/>
  <c r="AA355" i="26"/>
  <c r="AB355" i="26"/>
  <c r="AC355" i="26"/>
  <c r="AD355" i="26"/>
  <c r="AE355" i="26"/>
  <c r="AF355" i="26"/>
  <c r="AG355" i="26"/>
  <c r="AH355" i="26"/>
  <c r="AI355" i="26"/>
  <c r="AJ355" i="26"/>
  <c r="AK355" i="26"/>
  <c r="AL355" i="26"/>
  <c r="AM355" i="26"/>
  <c r="AN355" i="26"/>
  <c r="AO355" i="26"/>
  <c r="AP355" i="26"/>
  <c r="AQ355" i="26"/>
  <c r="AR355" i="26"/>
  <c r="AS355" i="26"/>
  <c r="AT355" i="26"/>
  <c r="AU355" i="26"/>
  <c r="AV355" i="26"/>
  <c r="AW355" i="26"/>
  <c r="AX355" i="26"/>
  <c r="AY355" i="26"/>
  <c r="AZ355" i="26"/>
  <c r="BA355" i="26"/>
  <c r="BB355" i="26"/>
  <c r="BC355" i="26"/>
  <c r="BD355" i="26"/>
  <c r="BE355" i="26"/>
  <c r="BF355" i="26"/>
  <c r="BG355" i="26"/>
  <c r="H356" i="26"/>
  <c r="I356" i="26"/>
  <c r="J356" i="26"/>
  <c r="K356" i="26"/>
  <c r="L356" i="26"/>
  <c r="M356" i="26"/>
  <c r="N356" i="26"/>
  <c r="O356" i="26"/>
  <c r="P356" i="26"/>
  <c r="Q356" i="26"/>
  <c r="R356" i="26"/>
  <c r="S356" i="26"/>
  <c r="T356" i="26"/>
  <c r="U356" i="26"/>
  <c r="V356" i="26"/>
  <c r="W356" i="26"/>
  <c r="X356" i="26"/>
  <c r="Y356" i="26"/>
  <c r="Z356" i="26"/>
  <c r="AA356" i="26"/>
  <c r="AB356" i="26"/>
  <c r="AC356" i="26"/>
  <c r="AD356" i="26"/>
  <c r="AE356" i="26"/>
  <c r="AF356" i="26"/>
  <c r="AG356" i="26"/>
  <c r="AH356" i="26"/>
  <c r="AI356" i="26"/>
  <c r="AJ356" i="26"/>
  <c r="AK356" i="26"/>
  <c r="AL356" i="26"/>
  <c r="AM356" i="26"/>
  <c r="AN356" i="26"/>
  <c r="AO356" i="26"/>
  <c r="AP356" i="26"/>
  <c r="AQ356" i="26"/>
  <c r="AR356" i="26"/>
  <c r="AS356" i="26"/>
  <c r="AT356" i="26"/>
  <c r="AU356" i="26"/>
  <c r="AV356" i="26"/>
  <c r="AW356" i="26"/>
  <c r="AX356" i="26"/>
  <c r="AY356" i="26"/>
  <c r="AZ356" i="26"/>
  <c r="BA356" i="26"/>
  <c r="BB356" i="26"/>
  <c r="BC356" i="26"/>
  <c r="BD356" i="26"/>
  <c r="BE356" i="26"/>
  <c r="BF356" i="26"/>
  <c r="BG356" i="26"/>
  <c r="H357" i="26"/>
  <c r="I357" i="26"/>
  <c r="J357" i="26"/>
  <c r="K357" i="26"/>
  <c r="L357" i="26"/>
  <c r="M357" i="26"/>
  <c r="N357" i="26"/>
  <c r="O357" i="26"/>
  <c r="P357" i="26"/>
  <c r="Q357" i="26"/>
  <c r="R357" i="26"/>
  <c r="S357" i="26"/>
  <c r="T357" i="26"/>
  <c r="U357" i="26"/>
  <c r="V357" i="26"/>
  <c r="W357" i="26"/>
  <c r="X357" i="26"/>
  <c r="Y357" i="26"/>
  <c r="Z357" i="26"/>
  <c r="AA357" i="26"/>
  <c r="AB357" i="26"/>
  <c r="AC357" i="26"/>
  <c r="AD357" i="26"/>
  <c r="AE357" i="26"/>
  <c r="AF357" i="26"/>
  <c r="AG357" i="26"/>
  <c r="AH357" i="26"/>
  <c r="AI357" i="26"/>
  <c r="AJ357" i="26"/>
  <c r="AK357" i="26"/>
  <c r="AL357" i="26"/>
  <c r="AM357" i="26"/>
  <c r="AN357" i="26"/>
  <c r="AO357" i="26"/>
  <c r="AP357" i="26"/>
  <c r="AQ357" i="26"/>
  <c r="AR357" i="26"/>
  <c r="AS357" i="26"/>
  <c r="AT357" i="26"/>
  <c r="AU357" i="26"/>
  <c r="AV357" i="26"/>
  <c r="AW357" i="26"/>
  <c r="AX357" i="26"/>
  <c r="AY357" i="26"/>
  <c r="AZ357" i="26"/>
  <c r="BA357" i="26"/>
  <c r="BB357" i="26"/>
  <c r="BC357" i="26"/>
  <c r="BD357" i="26"/>
  <c r="BE357" i="26"/>
  <c r="BF357" i="26"/>
  <c r="BG357" i="26"/>
  <c r="H358" i="26"/>
  <c r="I358" i="26"/>
  <c r="J358" i="26"/>
  <c r="K358" i="26"/>
  <c r="L358" i="26"/>
  <c r="M358" i="26"/>
  <c r="N358" i="26"/>
  <c r="O358" i="26"/>
  <c r="P358" i="26"/>
  <c r="Q358" i="26"/>
  <c r="R358" i="26"/>
  <c r="S358" i="26"/>
  <c r="T358" i="26"/>
  <c r="U358" i="26"/>
  <c r="V358" i="26"/>
  <c r="W358" i="26"/>
  <c r="X358" i="26"/>
  <c r="Y358" i="26"/>
  <c r="Z358" i="26"/>
  <c r="AA358" i="26"/>
  <c r="AB358" i="26"/>
  <c r="AC358" i="26"/>
  <c r="AD358" i="26"/>
  <c r="AE358" i="26"/>
  <c r="AF358" i="26"/>
  <c r="AG358" i="26"/>
  <c r="AH358" i="26"/>
  <c r="AI358" i="26"/>
  <c r="AJ358" i="26"/>
  <c r="AK358" i="26"/>
  <c r="AL358" i="26"/>
  <c r="AM358" i="26"/>
  <c r="AN358" i="26"/>
  <c r="AO358" i="26"/>
  <c r="AP358" i="26"/>
  <c r="AQ358" i="26"/>
  <c r="AR358" i="26"/>
  <c r="AS358" i="26"/>
  <c r="AT358" i="26"/>
  <c r="AU358" i="26"/>
  <c r="AV358" i="26"/>
  <c r="AW358" i="26"/>
  <c r="AX358" i="26"/>
  <c r="AY358" i="26"/>
  <c r="AZ358" i="26"/>
  <c r="BA358" i="26"/>
  <c r="BB358" i="26"/>
  <c r="BC358" i="26"/>
  <c r="BD358" i="26"/>
  <c r="BE358" i="26"/>
  <c r="BF358" i="26"/>
  <c r="BG358" i="26"/>
  <c r="H359" i="26"/>
  <c r="I359" i="26"/>
  <c r="J359" i="26"/>
  <c r="K359" i="26"/>
  <c r="L359" i="26"/>
  <c r="M359" i="26"/>
  <c r="N359" i="26"/>
  <c r="O359" i="26"/>
  <c r="P359" i="26"/>
  <c r="Q359" i="26"/>
  <c r="R359" i="26"/>
  <c r="S359" i="26"/>
  <c r="T359" i="26"/>
  <c r="U359" i="26"/>
  <c r="V359" i="26"/>
  <c r="W359" i="26"/>
  <c r="X359" i="26"/>
  <c r="Y359" i="26"/>
  <c r="Z359" i="26"/>
  <c r="AA359" i="26"/>
  <c r="AB359" i="26"/>
  <c r="AC359" i="26"/>
  <c r="AD359" i="26"/>
  <c r="AE359" i="26"/>
  <c r="AF359" i="26"/>
  <c r="AG359" i="26"/>
  <c r="AH359" i="26"/>
  <c r="AI359" i="26"/>
  <c r="AJ359" i="26"/>
  <c r="AK359" i="26"/>
  <c r="AL359" i="26"/>
  <c r="AM359" i="26"/>
  <c r="AN359" i="26"/>
  <c r="AO359" i="26"/>
  <c r="AP359" i="26"/>
  <c r="AQ359" i="26"/>
  <c r="AR359" i="26"/>
  <c r="AS359" i="26"/>
  <c r="AT359" i="26"/>
  <c r="AU359" i="26"/>
  <c r="AV359" i="26"/>
  <c r="AW359" i="26"/>
  <c r="AX359" i="26"/>
  <c r="AY359" i="26"/>
  <c r="AZ359" i="26"/>
  <c r="BA359" i="26"/>
  <c r="BB359" i="26"/>
  <c r="BC359" i="26"/>
  <c r="BD359" i="26"/>
  <c r="BE359" i="26"/>
  <c r="BF359" i="26"/>
  <c r="BG359" i="26"/>
  <c r="H360" i="26"/>
  <c r="I360" i="26"/>
  <c r="J360" i="26"/>
  <c r="K360" i="26"/>
  <c r="L360" i="26"/>
  <c r="M360" i="26"/>
  <c r="N360" i="26"/>
  <c r="O360" i="26"/>
  <c r="P360" i="26"/>
  <c r="Q360" i="26"/>
  <c r="R360" i="26"/>
  <c r="S360" i="26"/>
  <c r="T360" i="26"/>
  <c r="U360" i="26"/>
  <c r="V360" i="26"/>
  <c r="W360" i="26"/>
  <c r="X360" i="26"/>
  <c r="Y360" i="26"/>
  <c r="Z360" i="26"/>
  <c r="AA360" i="26"/>
  <c r="AB360" i="26"/>
  <c r="AC360" i="26"/>
  <c r="AD360" i="26"/>
  <c r="AE360" i="26"/>
  <c r="AF360" i="26"/>
  <c r="AG360" i="26"/>
  <c r="AH360" i="26"/>
  <c r="AI360" i="26"/>
  <c r="AJ360" i="26"/>
  <c r="AK360" i="26"/>
  <c r="AL360" i="26"/>
  <c r="AM360" i="26"/>
  <c r="AN360" i="26"/>
  <c r="AO360" i="26"/>
  <c r="AP360" i="26"/>
  <c r="AQ360" i="26"/>
  <c r="AR360" i="26"/>
  <c r="AS360" i="26"/>
  <c r="AT360" i="26"/>
  <c r="AU360" i="26"/>
  <c r="AV360" i="26"/>
  <c r="AW360" i="26"/>
  <c r="AX360" i="26"/>
  <c r="AY360" i="26"/>
  <c r="AZ360" i="26"/>
  <c r="BA360" i="26"/>
  <c r="BB360" i="26"/>
  <c r="BC360" i="26"/>
  <c r="BD360" i="26"/>
  <c r="BE360" i="26"/>
  <c r="BF360" i="26"/>
  <c r="BG360" i="26"/>
  <c r="H361" i="26"/>
  <c r="I361" i="26"/>
  <c r="J361" i="26"/>
  <c r="K361" i="26"/>
  <c r="L361" i="26"/>
  <c r="M361" i="26"/>
  <c r="N361" i="26"/>
  <c r="O361" i="26"/>
  <c r="P361" i="26"/>
  <c r="Q361" i="26"/>
  <c r="R361" i="26"/>
  <c r="S361" i="26"/>
  <c r="T361" i="26"/>
  <c r="U361" i="26"/>
  <c r="V361" i="26"/>
  <c r="W361" i="26"/>
  <c r="X361" i="26"/>
  <c r="Y361" i="26"/>
  <c r="Z361" i="26"/>
  <c r="AA361" i="26"/>
  <c r="AB361" i="26"/>
  <c r="AC361" i="26"/>
  <c r="AD361" i="26"/>
  <c r="AE361" i="26"/>
  <c r="AF361" i="26"/>
  <c r="AG361" i="26"/>
  <c r="AH361" i="26"/>
  <c r="AI361" i="26"/>
  <c r="AJ361" i="26"/>
  <c r="AK361" i="26"/>
  <c r="AL361" i="26"/>
  <c r="AM361" i="26"/>
  <c r="AN361" i="26"/>
  <c r="AO361" i="26"/>
  <c r="AP361" i="26"/>
  <c r="AQ361" i="26"/>
  <c r="AR361" i="26"/>
  <c r="AS361" i="26"/>
  <c r="AT361" i="26"/>
  <c r="AU361" i="26"/>
  <c r="AV361" i="26"/>
  <c r="AW361" i="26"/>
  <c r="AX361" i="26"/>
  <c r="AY361" i="26"/>
  <c r="AZ361" i="26"/>
  <c r="BA361" i="26"/>
  <c r="BB361" i="26"/>
  <c r="BC361" i="26"/>
  <c r="BD361" i="26"/>
  <c r="BE361" i="26"/>
  <c r="BF361" i="26"/>
  <c r="BG361" i="26"/>
  <c r="H362" i="26"/>
  <c r="I362" i="26"/>
  <c r="J362" i="26"/>
  <c r="K362" i="26"/>
  <c r="L362" i="26"/>
  <c r="M362" i="26"/>
  <c r="N362" i="26"/>
  <c r="O362" i="26"/>
  <c r="P362" i="26"/>
  <c r="Q362" i="26"/>
  <c r="R362" i="26"/>
  <c r="S362" i="26"/>
  <c r="T362" i="26"/>
  <c r="U362" i="26"/>
  <c r="V362" i="26"/>
  <c r="W362" i="26"/>
  <c r="X362" i="26"/>
  <c r="Y362" i="26"/>
  <c r="Z362" i="26"/>
  <c r="AA362" i="26"/>
  <c r="AB362" i="26"/>
  <c r="AC362" i="26"/>
  <c r="AD362" i="26"/>
  <c r="AE362" i="26"/>
  <c r="AF362" i="26"/>
  <c r="AG362" i="26"/>
  <c r="AH362" i="26"/>
  <c r="AI362" i="26"/>
  <c r="AJ362" i="26"/>
  <c r="AK362" i="26"/>
  <c r="AL362" i="26"/>
  <c r="AM362" i="26"/>
  <c r="AN362" i="26"/>
  <c r="AO362" i="26"/>
  <c r="AP362" i="26"/>
  <c r="AQ362" i="26"/>
  <c r="AR362" i="26"/>
  <c r="AS362" i="26"/>
  <c r="AT362" i="26"/>
  <c r="AU362" i="26"/>
  <c r="AV362" i="26"/>
  <c r="AW362" i="26"/>
  <c r="AX362" i="26"/>
  <c r="AY362" i="26"/>
  <c r="AZ362" i="26"/>
  <c r="BA362" i="26"/>
  <c r="BB362" i="26"/>
  <c r="BC362" i="26"/>
  <c r="BD362" i="26"/>
  <c r="BE362" i="26"/>
  <c r="BF362" i="26"/>
  <c r="BG362" i="26"/>
  <c r="H363" i="26"/>
  <c r="I363" i="26"/>
  <c r="J363" i="26"/>
  <c r="K363" i="26"/>
  <c r="L363" i="26"/>
  <c r="M363" i="26"/>
  <c r="N363" i="26"/>
  <c r="O363" i="26"/>
  <c r="P363" i="26"/>
  <c r="Q363" i="26"/>
  <c r="R363" i="26"/>
  <c r="S363" i="26"/>
  <c r="T363" i="26"/>
  <c r="U363" i="26"/>
  <c r="V363" i="26"/>
  <c r="W363" i="26"/>
  <c r="X363" i="26"/>
  <c r="Y363" i="26"/>
  <c r="Z363" i="26"/>
  <c r="AA363" i="26"/>
  <c r="AB363" i="26"/>
  <c r="AC363" i="26"/>
  <c r="AD363" i="26"/>
  <c r="AE363" i="26"/>
  <c r="AF363" i="26"/>
  <c r="AG363" i="26"/>
  <c r="AH363" i="26"/>
  <c r="AI363" i="26"/>
  <c r="AJ363" i="26"/>
  <c r="AK363" i="26"/>
  <c r="AL363" i="26"/>
  <c r="AM363" i="26"/>
  <c r="AN363" i="26"/>
  <c r="AO363" i="26"/>
  <c r="AP363" i="26"/>
  <c r="AQ363" i="26"/>
  <c r="AR363" i="26"/>
  <c r="AS363" i="26"/>
  <c r="AT363" i="26"/>
  <c r="AU363" i="26"/>
  <c r="AV363" i="26"/>
  <c r="AW363" i="26"/>
  <c r="AX363" i="26"/>
  <c r="AY363" i="26"/>
  <c r="AZ363" i="26"/>
  <c r="BA363" i="26"/>
  <c r="BB363" i="26"/>
  <c r="BC363" i="26"/>
  <c r="BD363" i="26"/>
  <c r="BE363" i="26"/>
  <c r="BF363" i="26"/>
  <c r="BG363" i="26"/>
  <c r="H364" i="26"/>
  <c r="I364" i="26"/>
  <c r="J364" i="26"/>
  <c r="K364" i="26"/>
  <c r="L364" i="26"/>
  <c r="M364" i="26"/>
  <c r="N364" i="26"/>
  <c r="O364" i="26"/>
  <c r="P364" i="26"/>
  <c r="Q364" i="26"/>
  <c r="R364" i="26"/>
  <c r="S364" i="26"/>
  <c r="T364" i="26"/>
  <c r="U364" i="26"/>
  <c r="V364" i="26"/>
  <c r="W364" i="26"/>
  <c r="X364" i="26"/>
  <c r="Y364" i="26"/>
  <c r="Z364" i="26"/>
  <c r="AA364" i="26"/>
  <c r="AB364" i="26"/>
  <c r="AC364" i="26"/>
  <c r="AD364" i="26"/>
  <c r="AE364" i="26"/>
  <c r="AF364" i="26"/>
  <c r="AG364" i="26"/>
  <c r="AH364" i="26"/>
  <c r="AI364" i="26"/>
  <c r="AJ364" i="26"/>
  <c r="AK364" i="26"/>
  <c r="AL364" i="26"/>
  <c r="AM364" i="26"/>
  <c r="AN364" i="26"/>
  <c r="AO364" i="26"/>
  <c r="AP364" i="26"/>
  <c r="AQ364" i="26"/>
  <c r="AR364" i="26"/>
  <c r="AS364" i="26"/>
  <c r="AT364" i="26"/>
  <c r="AU364" i="26"/>
  <c r="AV364" i="26"/>
  <c r="AW364" i="26"/>
  <c r="AX364" i="26"/>
  <c r="AY364" i="26"/>
  <c r="AZ364" i="26"/>
  <c r="BA364" i="26"/>
  <c r="BB364" i="26"/>
  <c r="BC364" i="26"/>
  <c r="BD364" i="26"/>
  <c r="BE364" i="26"/>
  <c r="BF364" i="26"/>
  <c r="BG364" i="26"/>
  <c r="H365" i="26"/>
  <c r="I365" i="26"/>
  <c r="J365" i="26"/>
  <c r="K365" i="26"/>
  <c r="L365" i="26"/>
  <c r="M365" i="26"/>
  <c r="N365" i="26"/>
  <c r="O365" i="26"/>
  <c r="P365" i="26"/>
  <c r="Q365" i="26"/>
  <c r="R365" i="26"/>
  <c r="S365" i="26"/>
  <c r="T365" i="26"/>
  <c r="U365" i="26"/>
  <c r="V365" i="26"/>
  <c r="W365" i="26"/>
  <c r="X365" i="26"/>
  <c r="Y365" i="26"/>
  <c r="Z365" i="26"/>
  <c r="AA365" i="26"/>
  <c r="AB365" i="26"/>
  <c r="AC365" i="26"/>
  <c r="AD365" i="26"/>
  <c r="AE365" i="26"/>
  <c r="AF365" i="26"/>
  <c r="AG365" i="26"/>
  <c r="AH365" i="26"/>
  <c r="AI365" i="26"/>
  <c r="AJ365" i="26"/>
  <c r="AK365" i="26"/>
  <c r="AL365" i="26"/>
  <c r="AM365" i="26"/>
  <c r="AN365" i="26"/>
  <c r="AO365" i="26"/>
  <c r="AP365" i="26"/>
  <c r="AQ365" i="26"/>
  <c r="AR365" i="26"/>
  <c r="AS365" i="26"/>
  <c r="AT365" i="26"/>
  <c r="AU365" i="26"/>
  <c r="AV365" i="26"/>
  <c r="AW365" i="26"/>
  <c r="AX365" i="26"/>
  <c r="AY365" i="26"/>
  <c r="AZ365" i="26"/>
  <c r="BA365" i="26"/>
  <c r="BB365" i="26"/>
  <c r="BC365" i="26"/>
  <c r="BD365" i="26"/>
  <c r="BE365" i="26"/>
  <c r="BF365" i="26"/>
  <c r="BG365" i="26"/>
  <c r="H366" i="26"/>
  <c r="I366" i="26"/>
  <c r="J366" i="26"/>
  <c r="K366" i="26"/>
  <c r="L366" i="26"/>
  <c r="M366" i="26"/>
  <c r="N366" i="26"/>
  <c r="O366" i="26"/>
  <c r="P366" i="26"/>
  <c r="Q366" i="26"/>
  <c r="R366" i="26"/>
  <c r="S366" i="26"/>
  <c r="T366" i="26"/>
  <c r="U366" i="26"/>
  <c r="V366" i="26"/>
  <c r="W366" i="26"/>
  <c r="X366" i="26"/>
  <c r="Y366" i="26"/>
  <c r="Z366" i="26"/>
  <c r="AA366" i="26"/>
  <c r="AB366" i="26"/>
  <c r="AC366" i="26"/>
  <c r="AD366" i="26"/>
  <c r="AE366" i="26"/>
  <c r="AF366" i="26"/>
  <c r="AG366" i="26"/>
  <c r="AH366" i="26"/>
  <c r="AI366" i="26"/>
  <c r="AJ366" i="26"/>
  <c r="AK366" i="26"/>
  <c r="AL366" i="26"/>
  <c r="AM366" i="26"/>
  <c r="AN366" i="26"/>
  <c r="AO366" i="26"/>
  <c r="AP366" i="26"/>
  <c r="AQ366" i="26"/>
  <c r="AR366" i="26"/>
  <c r="AS366" i="26"/>
  <c r="AT366" i="26"/>
  <c r="AU366" i="26"/>
  <c r="AV366" i="26"/>
  <c r="AW366" i="26"/>
  <c r="AX366" i="26"/>
  <c r="AY366" i="26"/>
  <c r="AZ366" i="26"/>
  <c r="BA366" i="26"/>
  <c r="BB366" i="26"/>
  <c r="BC366" i="26"/>
  <c r="BD366" i="26"/>
  <c r="BE366" i="26"/>
  <c r="BF366" i="26"/>
  <c r="BG366" i="26"/>
  <c r="H367" i="26"/>
  <c r="I367" i="26"/>
  <c r="J367" i="26"/>
  <c r="K367" i="26"/>
  <c r="L367" i="26"/>
  <c r="M367" i="26"/>
  <c r="N367" i="26"/>
  <c r="O367" i="26"/>
  <c r="P367" i="26"/>
  <c r="Q367" i="26"/>
  <c r="R367" i="26"/>
  <c r="S367" i="26"/>
  <c r="T367" i="26"/>
  <c r="U367" i="26"/>
  <c r="V367" i="26"/>
  <c r="W367" i="26"/>
  <c r="X367" i="26"/>
  <c r="Y367" i="26"/>
  <c r="Z367" i="26"/>
  <c r="AA367" i="26"/>
  <c r="AB367" i="26"/>
  <c r="AC367" i="26"/>
  <c r="AD367" i="26"/>
  <c r="AE367" i="26"/>
  <c r="AF367" i="26"/>
  <c r="AG367" i="26"/>
  <c r="AH367" i="26"/>
  <c r="AI367" i="26"/>
  <c r="AJ367" i="26"/>
  <c r="AK367" i="26"/>
  <c r="AL367" i="26"/>
  <c r="AM367" i="26"/>
  <c r="AN367" i="26"/>
  <c r="AO367" i="26"/>
  <c r="AP367" i="26"/>
  <c r="AQ367" i="26"/>
  <c r="AR367" i="26"/>
  <c r="AS367" i="26"/>
  <c r="AT367" i="26"/>
  <c r="AU367" i="26"/>
  <c r="AV367" i="26"/>
  <c r="AW367" i="26"/>
  <c r="AX367" i="26"/>
  <c r="AY367" i="26"/>
  <c r="AZ367" i="26"/>
  <c r="BA367" i="26"/>
  <c r="BB367" i="26"/>
  <c r="BC367" i="26"/>
  <c r="BD367" i="26"/>
  <c r="BE367" i="26"/>
  <c r="BF367" i="26"/>
  <c r="BG367" i="26"/>
  <c r="H368" i="26"/>
  <c r="I368" i="26"/>
  <c r="J368" i="26"/>
  <c r="K368" i="26"/>
  <c r="L368" i="26"/>
  <c r="M368" i="26"/>
  <c r="N368" i="26"/>
  <c r="O368" i="26"/>
  <c r="P368" i="26"/>
  <c r="Q368" i="26"/>
  <c r="R368" i="26"/>
  <c r="S368" i="26"/>
  <c r="T368" i="26"/>
  <c r="U368" i="26"/>
  <c r="V368" i="26"/>
  <c r="W368" i="26"/>
  <c r="X368" i="26"/>
  <c r="Y368" i="26"/>
  <c r="Z368" i="26"/>
  <c r="AA368" i="26"/>
  <c r="AB368" i="26"/>
  <c r="AC368" i="26"/>
  <c r="AD368" i="26"/>
  <c r="AE368" i="26"/>
  <c r="AF368" i="26"/>
  <c r="AG368" i="26"/>
  <c r="AH368" i="26"/>
  <c r="AI368" i="26"/>
  <c r="AJ368" i="26"/>
  <c r="AK368" i="26"/>
  <c r="AL368" i="26"/>
  <c r="AM368" i="26"/>
  <c r="AN368" i="26"/>
  <c r="AO368" i="26"/>
  <c r="AP368" i="26"/>
  <c r="AQ368" i="26"/>
  <c r="AR368" i="26"/>
  <c r="AS368" i="26"/>
  <c r="AT368" i="26"/>
  <c r="AU368" i="26"/>
  <c r="AV368" i="26"/>
  <c r="AW368" i="26"/>
  <c r="AX368" i="26"/>
  <c r="AY368" i="26"/>
  <c r="AZ368" i="26"/>
  <c r="BA368" i="26"/>
  <c r="BB368" i="26"/>
  <c r="BC368" i="26"/>
  <c r="BD368" i="26"/>
  <c r="BE368" i="26"/>
  <c r="BF368" i="26"/>
  <c r="BG368" i="26"/>
  <c r="H369" i="26"/>
  <c r="I369" i="26"/>
  <c r="J369" i="26"/>
  <c r="K369" i="26"/>
  <c r="L369" i="26"/>
  <c r="M369" i="26"/>
  <c r="N369" i="26"/>
  <c r="O369" i="26"/>
  <c r="P369" i="26"/>
  <c r="Q369" i="26"/>
  <c r="R369" i="26"/>
  <c r="S369" i="26"/>
  <c r="T369" i="26"/>
  <c r="U369" i="26"/>
  <c r="V369" i="26"/>
  <c r="W369" i="26"/>
  <c r="X369" i="26"/>
  <c r="Y369" i="26"/>
  <c r="Z369" i="26"/>
  <c r="AA369" i="26"/>
  <c r="AB369" i="26"/>
  <c r="AC369" i="26"/>
  <c r="AD369" i="26"/>
  <c r="AE369" i="26"/>
  <c r="AF369" i="26"/>
  <c r="AG369" i="26"/>
  <c r="AH369" i="26"/>
  <c r="AI369" i="26"/>
  <c r="AJ369" i="26"/>
  <c r="AK369" i="26"/>
  <c r="AL369" i="26"/>
  <c r="AM369" i="26"/>
  <c r="AN369" i="26"/>
  <c r="AO369" i="26"/>
  <c r="AP369" i="26"/>
  <c r="AQ369" i="26"/>
  <c r="AR369" i="26"/>
  <c r="AS369" i="26"/>
  <c r="AT369" i="26"/>
  <c r="AU369" i="26"/>
  <c r="AV369" i="26"/>
  <c r="AW369" i="26"/>
  <c r="AX369" i="26"/>
  <c r="AY369" i="26"/>
  <c r="AZ369" i="26"/>
  <c r="BA369" i="26"/>
  <c r="BB369" i="26"/>
  <c r="BC369" i="26"/>
  <c r="BD369" i="26"/>
  <c r="BE369" i="26"/>
  <c r="BF369" i="26"/>
  <c r="BG369" i="26"/>
  <c r="H370" i="26"/>
  <c r="I370" i="26"/>
  <c r="J370" i="26"/>
  <c r="K370" i="26"/>
  <c r="L370" i="26"/>
  <c r="M370" i="26"/>
  <c r="N370" i="26"/>
  <c r="O370" i="26"/>
  <c r="P370" i="26"/>
  <c r="Q370" i="26"/>
  <c r="R370" i="26"/>
  <c r="S370" i="26"/>
  <c r="T370" i="26"/>
  <c r="U370" i="26"/>
  <c r="V370" i="26"/>
  <c r="W370" i="26"/>
  <c r="X370" i="26"/>
  <c r="Y370" i="26"/>
  <c r="Z370" i="26"/>
  <c r="AA370" i="26"/>
  <c r="AB370" i="26"/>
  <c r="AC370" i="26"/>
  <c r="AD370" i="26"/>
  <c r="AE370" i="26"/>
  <c r="AF370" i="26"/>
  <c r="AG370" i="26"/>
  <c r="AH370" i="26"/>
  <c r="AI370" i="26"/>
  <c r="AJ370" i="26"/>
  <c r="AK370" i="26"/>
  <c r="AL370" i="26"/>
  <c r="AM370" i="26"/>
  <c r="AN370" i="26"/>
  <c r="AO370" i="26"/>
  <c r="AP370" i="26"/>
  <c r="AQ370" i="26"/>
  <c r="AR370" i="26"/>
  <c r="AS370" i="26"/>
  <c r="AT370" i="26"/>
  <c r="AU370" i="26"/>
  <c r="AV370" i="26"/>
  <c r="AW370" i="26"/>
  <c r="AX370" i="26"/>
  <c r="AY370" i="26"/>
  <c r="AZ370" i="26"/>
  <c r="BA370" i="26"/>
  <c r="BB370" i="26"/>
  <c r="BC370" i="26"/>
  <c r="BD370" i="26"/>
  <c r="BE370" i="26"/>
  <c r="BF370" i="26"/>
  <c r="BG370" i="26"/>
  <c r="H371" i="26"/>
  <c r="I371" i="26"/>
  <c r="J371" i="26"/>
  <c r="K371" i="26"/>
  <c r="L371" i="26"/>
  <c r="M371" i="26"/>
  <c r="N371" i="26"/>
  <c r="O371" i="26"/>
  <c r="P371" i="26"/>
  <c r="Q371" i="26"/>
  <c r="R371" i="26"/>
  <c r="S371" i="26"/>
  <c r="T371" i="26"/>
  <c r="U371" i="26"/>
  <c r="V371" i="26"/>
  <c r="W371" i="26"/>
  <c r="X371" i="26"/>
  <c r="Y371" i="26"/>
  <c r="Z371" i="26"/>
  <c r="AA371" i="26"/>
  <c r="AB371" i="26"/>
  <c r="AC371" i="26"/>
  <c r="AD371" i="26"/>
  <c r="AE371" i="26"/>
  <c r="AF371" i="26"/>
  <c r="AG371" i="26"/>
  <c r="AH371" i="26"/>
  <c r="AI371" i="26"/>
  <c r="AJ371" i="26"/>
  <c r="AK371" i="26"/>
  <c r="AL371" i="26"/>
  <c r="AM371" i="26"/>
  <c r="AN371" i="26"/>
  <c r="AO371" i="26"/>
  <c r="AP371" i="26"/>
  <c r="AQ371" i="26"/>
  <c r="AR371" i="26"/>
  <c r="AS371" i="26"/>
  <c r="AT371" i="26"/>
  <c r="AU371" i="26"/>
  <c r="AV371" i="26"/>
  <c r="AW371" i="26"/>
  <c r="AX371" i="26"/>
  <c r="AY371" i="26"/>
  <c r="AZ371" i="26"/>
  <c r="BA371" i="26"/>
  <c r="BB371" i="26"/>
  <c r="BC371" i="26"/>
  <c r="BD371" i="26"/>
  <c r="BE371" i="26"/>
  <c r="BF371" i="26"/>
  <c r="BG371" i="26"/>
  <c r="H372" i="26"/>
  <c r="I372" i="26"/>
  <c r="J372" i="26"/>
  <c r="K372" i="26"/>
  <c r="L372" i="26"/>
  <c r="M372" i="26"/>
  <c r="N372" i="26"/>
  <c r="O372" i="26"/>
  <c r="P372" i="26"/>
  <c r="Q372" i="26"/>
  <c r="R372" i="26"/>
  <c r="S372" i="26"/>
  <c r="T372" i="26"/>
  <c r="U372" i="26"/>
  <c r="V372" i="26"/>
  <c r="W372" i="26"/>
  <c r="X372" i="26"/>
  <c r="Y372" i="26"/>
  <c r="Z372" i="26"/>
  <c r="AA372" i="26"/>
  <c r="AB372" i="26"/>
  <c r="AC372" i="26"/>
  <c r="AD372" i="26"/>
  <c r="AE372" i="26"/>
  <c r="AF372" i="26"/>
  <c r="AG372" i="26"/>
  <c r="AH372" i="26"/>
  <c r="AI372" i="26"/>
  <c r="AJ372" i="26"/>
  <c r="AK372" i="26"/>
  <c r="AL372" i="26"/>
  <c r="AM372" i="26"/>
  <c r="AN372" i="26"/>
  <c r="AO372" i="26"/>
  <c r="AP372" i="26"/>
  <c r="AQ372" i="26"/>
  <c r="AR372" i="26"/>
  <c r="AS372" i="26"/>
  <c r="AT372" i="26"/>
  <c r="AU372" i="26"/>
  <c r="AV372" i="26"/>
  <c r="AW372" i="26"/>
  <c r="AX372" i="26"/>
  <c r="AY372" i="26"/>
  <c r="AZ372" i="26"/>
  <c r="BA372" i="26"/>
  <c r="BB372" i="26"/>
  <c r="BC372" i="26"/>
  <c r="BD372" i="26"/>
  <c r="BE372" i="26"/>
  <c r="BF372" i="26"/>
  <c r="BG372" i="26"/>
  <c r="H373" i="26"/>
  <c r="I373" i="26"/>
  <c r="J373" i="26"/>
  <c r="K373" i="26"/>
  <c r="L373" i="26"/>
  <c r="M373" i="26"/>
  <c r="N373" i="26"/>
  <c r="O373" i="26"/>
  <c r="P373" i="26"/>
  <c r="Q373" i="26"/>
  <c r="R373" i="26"/>
  <c r="S373" i="26"/>
  <c r="T373" i="26"/>
  <c r="U373" i="26"/>
  <c r="V373" i="26"/>
  <c r="W373" i="26"/>
  <c r="X373" i="26"/>
  <c r="Y373" i="26"/>
  <c r="Z373" i="26"/>
  <c r="AA373" i="26"/>
  <c r="AB373" i="26"/>
  <c r="AC373" i="26"/>
  <c r="AD373" i="26"/>
  <c r="AE373" i="26"/>
  <c r="AF373" i="26"/>
  <c r="AG373" i="26"/>
  <c r="AH373" i="26"/>
  <c r="AI373" i="26"/>
  <c r="AJ373" i="26"/>
  <c r="AK373" i="26"/>
  <c r="AL373" i="26"/>
  <c r="AM373" i="26"/>
  <c r="AN373" i="26"/>
  <c r="AO373" i="26"/>
  <c r="AP373" i="26"/>
  <c r="AQ373" i="26"/>
  <c r="AR373" i="26"/>
  <c r="AS373" i="26"/>
  <c r="AT373" i="26"/>
  <c r="AU373" i="26"/>
  <c r="AV373" i="26"/>
  <c r="AW373" i="26"/>
  <c r="AX373" i="26"/>
  <c r="AY373" i="26"/>
  <c r="AZ373" i="26"/>
  <c r="BA373" i="26"/>
  <c r="BB373" i="26"/>
  <c r="BC373" i="26"/>
  <c r="BD373" i="26"/>
  <c r="BE373" i="26"/>
  <c r="BF373" i="26"/>
  <c r="BG373" i="26"/>
  <c r="H374" i="26"/>
  <c r="I374" i="26"/>
  <c r="J374" i="26"/>
  <c r="K374" i="26"/>
  <c r="L374" i="26"/>
  <c r="M374" i="26"/>
  <c r="N374" i="26"/>
  <c r="O374" i="26"/>
  <c r="P374" i="26"/>
  <c r="Q374" i="26"/>
  <c r="R374" i="26"/>
  <c r="S374" i="26"/>
  <c r="T374" i="26"/>
  <c r="U374" i="26"/>
  <c r="V374" i="26"/>
  <c r="W374" i="26"/>
  <c r="X374" i="26"/>
  <c r="Y374" i="26"/>
  <c r="Z374" i="26"/>
  <c r="AA374" i="26"/>
  <c r="AB374" i="26"/>
  <c r="AC374" i="26"/>
  <c r="AD374" i="26"/>
  <c r="AE374" i="26"/>
  <c r="AF374" i="26"/>
  <c r="AG374" i="26"/>
  <c r="AH374" i="26"/>
  <c r="AI374" i="26"/>
  <c r="AJ374" i="26"/>
  <c r="AK374" i="26"/>
  <c r="AL374" i="26"/>
  <c r="AM374" i="26"/>
  <c r="AN374" i="26"/>
  <c r="AO374" i="26"/>
  <c r="AP374" i="26"/>
  <c r="AQ374" i="26"/>
  <c r="AR374" i="26"/>
  <c r="AS374" i="26"/>
  <c r="AT374" i="26"/>
  <c r="AU374" i="26"/>
  <c r="AV374" i="26"/>
  <c r="AW374" i="26"/>
  <c r="AX374" i="26"/>
  <c r="AY374" i="26"/>
  <c r="AZ374" i="26"/>
  <c r="BA374" i="26"/>
  <c r="BB374" i="26"/>
  <c r="BC374" i="26"/>
  <c r="BD374" i="26"/>
  <c r="BE374" i="26"/>
  <c r="BF374" i="26"/>
  <c r="BG374" i="26"/>
  <c r="H375" i="26"/>
  <c r="I375" i="26"/>
  <c r="J375" i="26"/>
  <c r="K375" i="26"/>
  <c r="L375" i="26"/>
  <c r="M375" i="26"/>
  <c r="N375" i="26"/>
  <c r="O375" i="26"/>
  <c r="P375" i="26"/>
  <c r="Q375" i="26"/>
  <c r="R375" i="26"/>
  <c r="S375" i="26"/>
  <c r="T375" i="26"/>
  <c r="U375" i="26"/>
  <c r="V375" i="26"/>
  <c r="W375" i="26"/>
  <c r="X375" i="26"/>
  <c r="Y375" i="26"/>
  <c r="Z375" i="26"/>
  <c r="AA375" i="26"/>
  <c r="AB375" i="26"/>
  <c r="AC375" i="26"/>
  <c r="AD375" i="26"/>
  <c r="AE375" i="26"/>
  <c r="AF375" i="26"/>
  <c r="AG375" i="26"/>
  <c r="AH375" i="26"/>
  <c r="AI375" i="26"/>
  <c r="AJ375" i="26"/>
  <c r="AK375" i="26"/>
  <c r="AL375" i="26"/>
  <c r="AM375" i="26"/>
  <c r="AN375" i="26"/>
  <c r="AO375" i="26"/>
  <c r="AP375" i="26"/>
  <c r="AQ375" i="26"/>
  <c r="AR375" i="26"/>
  <c r="AS375" i="26"/>
  <c r="AT375" i="26"/>
  <c r="AU375" i="26"/>
  <c r="AV375" i="26"/>
  <c r="AW375" i="26"/>
  <c r="AX375" i="26"/>
  <c r="AY375" i="26"/>
  <c r="AZ375" i="26"/>
  <c r="BA375" i="26"/>
  <c r="BB375" i="26"/>
  <c r="BC375" i="26"/>
  <c r="BD375" i="26"/>
  <c r="BE375" i="26"/>
  <c r="BF375" i="26"/>
  <c r="BG375" i="26"/>
  <c r="H376" i="26"/>
  <c r="I376" i="26"/>
  <c r="J376" i="26"/>
  <c r="K376" i="26"/>
  <c r="L376" i="26"/>
  <c r="M376" i="26"/>
  <c r="N376" i="26"/>
  <c r="O376" i="26"/>
  <c r="P376" i="26"/>
  <c r="Q376" i="26"/>
  <c r="R376" i="26"/>
  <c r="S376" i="26"/>
  <c r="T376" i="26"/>
  <c r="U376" i="26"/>
  <c r="V376" i="26"/>
  <c r="W376" i="26"/>
  <c r="X376" i="26"/>
  <c r="Y376" i="26"/>
  <c r="Z376" i="26"/>
  <c r="AA376" i="26"/>
  <c r="AB376" i="26"/>
  <c r="AC376" i="26"/>
  <c r="AD376" i="26"/>
  <c r="AE376" i="26"/>
  <c r="AF376" i="26"/>
  <c r="AG376" i="26"/>
  <c r="AH376" i="26"/>
  <c r="AI376" i="26"/>
  <c r="AJ376" i="26"/>
  <c r="AK376" i="26"/>
  <c r="AL376" i="26"/>
  <c r="AM376" i="26"/>
  <c r="AN376" i="26"/>
  <c r="AO376" i="26"/>
  <c r="AP376" i="26"/>
  <c r="AQ376" i="26"/>
  <c r="AR376" i="26"/>
  <c r="AS376" i="26"/>
  <c r="AT376" i="26"/>
  <c r="AU376" i="26"/>
  <c r="AV376" i="26"/>
  <c r="AW376" i="26"/>
  <c r="AX376" i="26"/>
  <c r="AY376" i="26"/>
  <c r="AZ376" i="26"/>
  <c r="BA376" i="26"/>
  <c r="BB376" i="26"/>
  <c r="BC376" i="26"/>
  <c r="BD376" i="26"/>
  <c r="BE376" i="26"/>
  <c r="BF376" i="26"/>
  <c r="BG376" i="26"/>
  <c r="H377" i="26"/>
  <c r="I377" i="26"/>
  <c r="J377" i="26"/>
  <c r="K377" i="26"/>
  <c r="L377" i="26"/>
  <c r="M377" i="26"/>
  <c r="N377" i="26"/>
  <c r="O377" i="26"/>
  <c r="P377" i="26"/>
  <c r="Q377" i="26"/>
  <c r="R377" i="26"/>
  <c r="S377" i="26"/>
  <c r="T377" i="26"/>
  <c r="U377" i="26"/>
  <c r="V377" i="26"/>
  <c r="W377" i="26"/>
  <c r="X377" i="26"/>
  <c r="Y377" i="26"/>
  <c r="Z377" i="26"/>
  <c r="AA377" i="26"/>
  <c r="AB377" i="26"/>
  <c r="AC377" i="26"/>
  <c r="AD377" i="26"/>
  <c r="AE377" i="26"/>
  <c r="AF377" i="26"/>
  <c r="AG377" i="26"/>
  <c r="AH377" i="26"/>
  <c r="AI377" i="26"/>
  <c r="AJ377" i="26"/>
  <c r="AK377" i="26"/>
  <c r="AL377" i="26"/>
  <c r="AM377" i="26"/>
  <c r="AN377" i="26"/>
  <c r="AO377" i="26"/>
  <c r="AP377" i="26"/>
  <c r="AQ377" i="26"/>
  <c r="AR377" i="26"/>
  <c r="AS377" i="26"/>
  <c r="AT377" i="26"/>
  <c r="AU377" i="26"/>
  <c r="AV377" i="26"/>
  <c r="AW377" i="26"/>
  <c r="AX377" i="26"/>
  <c r="AY377" i="26"/>
  <c r="AZ377" i="26"/>
  <c r="BA377" i="26"/>
  <c r="BB377" i="26"/>
  <c r="BC377" i="26"/>
  <c r="BD377" i="26"/>
  <c r="BE377" i="26"/>
  <c r="BF377" i="26"/>
  <c r="BG377" i="26"/>
  <c r="H378" i="26"/>
  <c r="I378" i="26"/>
  <c r="J378" i="26"/>
  <c r="K378" i="26"/>
  <c r="L378" i="26"/>
  <c r="M378" i="26"/>
  <c r="N378" i="26"/>
  <c r="O378" i="26"/>
  <c r="P378" i="26"/>
  <c r="Q378" i="26"/>
  <c r="R378" i="26"/>
  <c r="S378" i="26"/>
  <c r="T378" i="26"/>
  <c r="U378" i="26"/>
  <c r="V378" i="26"/>
  <c r="W378" i="26"/>
  <c r="X378" i="26"/>
  <c r="Y378" i="26"/>
  <c r="Z378" i="26"/>
  <c r="AA378" i="26"/>
  <c r="AB378" i="26"/>
  <c r="AC378" i="26"/>
  <c r="AD378" i="26"/>
  <c r="AE378" i="26"/>
  <c r="AF378" i="26"/>
  <c r="AG378" i="26"/>
  <c r="AH378" i="26"/>
  <c r="AI378" i="26"/>
  <c r="AJ378" i="26"/>
  <c r="AK378" i="26"/>
  <c r="AL378" i="26"/>
  <c r="AM378" i="26"/>
  <c r="AN378" i="26"/>
  <c r="AO378" i="26"/>
  <c r="AP378" i="26"/>
  <c r="AQ378" i="26"/>
  <c r="AR378" i="26"/>
  <c r="AS378" i="26"/>
  <c r="AT378" i="26"/>
  <c r="AU378" i="26"/>
  <c r="AV378" i="26"/>
  <c r="AW378" i="26"/>
  <c r="AX378" i="26"/>
  <c r="AY378" i="26"/>
  <c r="AZ378" i="26"/>
  <c r="BA378" i="26"/>
  <c r="BB378" i="26"/>
  <c r="BC378" i="26"/>
  <c r="BD378" i="26"/>
  <c r="BE378" i="26"/>
  <c r="BF378" i="26"/>
  <c r="BG378" i="26"/>
  <c r="H379" i="26"/>
  <c r="I379" i="26"/>
  <c r="J379" i="26"/>
  <c r="K379" i="26"/>
  <c r="L379" i="26"/>
  <c r="M379" i="26"/>
  <c r="N379" i="26"/>
  <c r="O379" i="26"/>
  <c r="P379" i="26"/>
  <c r="Q379" i="26"/>
  <c r="R379" i="26"/>
  <c r="S379" i="26"/>
  <c r="T379" i="26"/>
  <c r="U379" i="26"/>
  <c r="V379" i="26"/>
  <c r="W379" i="26"/>
  <c r="X379" i="26"/>
  <c r="Y379" i="26"/>
  <c r="Z379" i="26"/>
  <c r="AA379" i="26"/>
  <c r="AB379" i="26"/>
  <c r="AC379" i="26"/>
  <c r="AD379" i="26"/>
  <c r="AE379" i="26"/>
  <c r="AF379" i="26"/>
  <c r="AG379" i="26"/>
  <c r="AH379" i="26"/>
  <c r="AI379" i="26"/>
  <c r="AJ379" i="26"/>
  <c r="AK379" i="26"/>
  <c r="AL379" i="26"/>
  <c r="AM379" i="26"/>
  <c r="AN379" i="26"/>
  <c r="AO379" i="26"/>
  <c r="AP379" i="26"/>
  <c r="AQ379" i="26"/>
  <c r="AR379" i="26"/>
  <c r="AS379" i="26"/>
  <c r="AT379" i="26"/>
  <c r="AU379" i="26"/>
  <c r="AV379" i="26"/>
  <c r="AW379" i="26"/>
  <c r="AX379" i="26"/>
  <c r="AY379" i="26"/>
  <c r="AZ379" i="26"/>
  <c r="BA379" i="26"/>
  <c r="BB379" i="26"/>
  <c r="BC379" i="26"/>
  <c r="BD379" i="26"/>
  <c r="BE379" i="26"/>
  <c r="BF379" i="26"/>
  <c r="BG379" i="26"/>
  <c r="H380" i="26"/>
  <c r="I380" i="26"/>
  <c r="J380" i="26"/>
  <c r="K380" i="26"/>
  <c r="L380" i="26"/>
  <c r="M380" i="26"/>
  <c r="N380" i="26"/>
  <c r="O380" i="26"/>
  <c r="P380" i="26"/>
  <c r="Q380" i="26"/>
  <c r="R380" i="26"/>
  <c r="S380" i="26"/>
  <c r="T380" i="26"/>
  <c r="U380" i="26"/>
  <c r="V380" i="26"/>
  <c r="W380" i="26"/>
  <c r="X380" i="26"/>
  <c r="Y380" i="26"/>
  <c r="Z380" i="26"/>
  <c r="AA380" i="26"/>
  <c r="AB380" i="26"/>
  <c r="AC380" i="26"/>
  <c r="AD380" i="26"/>
  <c r="AE380" i="26"/>
  <c r="AF380" i="26"/>
  <c r="AG380" i="26"/>
  <c r="AH380" i="26"/>
  <c r="AI380" i="26"/>
  <c r="AJ380" i="26"/>
  <c r="AK380" i="26"/>
  <c r="AL380" i="26"/>
  <c r="AM380" i="26"/>
  <c r="AN380" i="26"/>
  <c r="AO380" i="26"/>
  <c r="AP380" i="26"/>
  <c r="AQ380" i="26"/>
  <c r="AR380" i="26"/>
  <c r="AS380" i="26"/>
  <c r="AT380" i="26"/>
  <c r="AU380" i="26"/>
  <c r="AV380" i="26"/>
  <c r="AW380" i="26"/>
  <c r="AX380" i="26"/>
  <c r="AY380" i="26"/>
  <c r="AZ380" i="26"/>
  <c r="BA380" i="26"/>
  <c r="BB380" i="26"/>
  <c r="BC380" i="26"/>
  <c r="BD380" i="26"/>
  <c r="BE380" i="26"/>
  <c r="BF380" i="26"/>
  <c r="BG380" i="26"/>
  <c r="H381" i="26"/>
  <c r="I381" i="26"/>
  <c r="J381" i="26"/>
  <c r="K381" i="26"/>
  <c r="L381" i="26"/>
  <c r="M381" i="26"/>
  <c r="N381" i="26"/>
  <c r="O381" i="26"/>
  <c r="P381" i="26"/>
  <c r="Q381" i="26"/>
  <c r="R381" i="26"/>
  <c r="S381" i="26"/>
  <c r="T381" i="26"/>
  <c r="U381" i="26"/>
  <c r="V381" i="26"/>
  <c r="W381" i="26"/>
  <c r="X381" i="26"/>
  <c r="Y381" i="26"/>
  <c r="Z381" i="26"/>
  <c r="AA381" i="26"/>
  <c r="AB381" i="26"/>
  <c r="AC381" i="26"/>
  <c r="AD381" i="26"/>
  <c r="AE381" i="26"/>
  <c r="AF381" i="26"/>
  <c r="AG381" i="26"/>
  <c r="AH381" i="26"/>
  <c r="AI381" i="26"/>
  <c r="AJ381" i="26"/>
  <c r="AK381" i="26"/>
  <c r="AL381" i="26"/>
  <c r="AM381" i="26"/>
  <c r="AN381" i="26"/>
  <c r="AO381" i="26"/>
  <c r="AP381" i="26"/>
  <c r="AQ381" i="26"/>
  <c r="AR381" i="26"/>
  <c r="AS381" i="26"/>
  <c r="AT381" i="26"/>
  <c r="AU381" i="26"/>
  <c r="AV381" i="26"/>
  <c r="AW381" i="26"/>
  <c r="AX381" i="26"/>
  <c r="AY381" i="26"/>
  <c r="AZ381" i="26"/>
  <c r="BA381" i="26"/>
  <c r="BB381" i="26"/>
  <c r="BC381" i="26"/>
  <c r="BD381" i="26"/>
  <c r="BE381" i="26"/>
  <c r="BF381" i="26"/>
  <c r="BG381" i="26"/>
  <c r="H382" i="26"/>
  <c r="I382" i="26"/>
  <c r="J382" i="26"/>
  <c r="K382" i="26"/>
  <c r="L382" i="26"/>
  <c r="M382" i="26"/>
  <c r="N382" i="26"/>
  <c r="O382" i="26"/>
  <c r="P382" i="26"/>
  <c r="Q382" i="26"/>
  <c r="R382" i="26"/>
  <c r="S382" i="26"/>
  <c r="T382" i="26"/>
  <c r="U382" i="26"/>
  <c r="V382" i="26"/>
  <c r="W382" i="26"/>
  <c r="X382" i="26"/>
  <c r="Y382" i="26"/>
  <c r="Z382" i="26"/>
  <c r="AA382" i="26"/>
  <c r="AB382" i="26"/>
  <c r="AC382" i="26"/>
  <c r="AD382" i="26"/>
  <c r="AE382" i="26"/>
  <c r="AF382" i="26"/>
  <c r="AG382" i="26"/>
  <c r="AH382" i="26"/>
  <c r="AI382" i="26"/>
  <c r="AJ382" i="26"/>
  <c r="AK382" i="26"/>
  <c r="AL382" i="26"/>
  <c r="AM382" i="26"/>
  <c r="AN382" i="26"/>
  <c r="AO382" i="26"/>
  <c r="AP382" i="26"/>
  <c r="AQ382" i="26"/>
  <c r="AR382" i="26"/>
  <c r="AS382" i="26"/>
  <c r="AT382" i="26"/>
  <c r="AU382" i="26"/>
  <c r="AV382" i="26"/>
  <c r="AW382" i="26"/>
  <c r="AX382" i="26"/>
  <c r="AY382" i="26"/>
  <c r="AZ382" i="26"/>
  <c r="BA382" i="26"/>
  <c r="BB382" i="26"/>
  <c r="BC382" i="26"/>
  <c r="BD382" i="26"/>
  <c r="BE382" i="26"/>
  <c r="BF382" i="26"/>
  <c r="BG382" i="26"/>
  <c r="H383" i="26"/>
  <c r="I383" i="26"/>
  <c r="J383" i="26"/>
  <c r="K383" i="26"/>
  <c r="L383" i="26"/>
  <c r="M383" i="26"/>
  <c r="N383" i="26"/>
  <c r="O383" i="26"/>
  <c r="P383" i="26"/>
  <c r="Q383" i="26"/>
  <c r="R383" i="26"/>
  <c r="S383" i="26"/>
  <c r="T383" i="26"/>
  <c r="U383" i="26"/>
  <c r="V383" i="26"/>
  <c r="W383" i="26"/>
  <c r="X383" i="26"/>
  <c r="Y383" i="26"/>
  <c r="Z383" i="26"/>
  <c r="AA383" i="26"/>
  <c r="AB383" i="26"/>
  <c r="AC383" i="26"/>
  <c r="AD383" i="26"/>
  <c r="AE383" i="26"/>
  <c r="AF383" i="26"/>
  <c r="AG383" i="26"/>
  <c r="AH383" i="26"/>
  <c r="AI383" i="26"/>
  <c r="AJ383" i="26"/>
  <c r="AK383" i="26"/>
  <c r="AL383" i="26"/>
  <c r="AM383" i="26"/>
  <c r="AN383" i="26"/>
  <c r="AO383" i="26"/>
  <c r="AP383" i="26"/>
  <c r="AQ383" i="26"/>
  <c r="AR383" i="26"/>
  <c r="AS383" i="26"/>
  <c r="AT383" i="26"/>
  <c r="AU383" i="26"/>
  <c r="AV383" i="26"/>
  <c r="AW383" i="26"/>
  <c r="AX383" i="26"/>
  <c r="AY383" i="26"/>
  <c r="AZ383" i="26"/>
  <c r="BA383" i="26"/>
  <c r="BB383" i="26"/>
  <c r="BC383" i="26"/>
  <c r="BD383" i="26"/>
  <c r="BE383" i="26"/>
  <c r="BF383" i="26"/>
  <c r="BG383" i="26"/>
  <c r="H384" i="26"/>
  <c r="I384" i="26"/>
  <c r="J384" i="26"/>
  <c r="K384" i="26"/>
  <c r="L384" i="26"/>
  <c r="M384" i="26"/>
  <c r="N384" i="26"/>
  <c r="O384" i="26"/>
  <c r="P384" i="26"/>
  <c r="Q384" i="26"/>
  <c r="R384" i="26"/>
  <c r="S384" i="26"/>
  <c r="T384" i="26"/>
  <c r="U384" i="26"/>
  <c r="V384" i="26"/>
  <c r="W384" i="26"/>
  <c r="X384" i="26"/>
  <c r="Y384" i="26"/>
  <c r="Z384" i="26"/>
  <c r="AA384" i="26"/>
  <c r="AB384" i="26"/>
  <c r="AC384" i="26"/>
  <c r="AD384" i="26"/>
  <c r="AE384" i="26"/>
  <c r="AF384" i="26"/>
  <c r="AG384" i="26"/>
  <c r="AH384" i="26"/>
  <c r="AI384" i="26"/>
  <c r="AJ384" i="26"/>
  <c r="AK384" i="26"/>
  <c r="AL384" i="26"/>
  <c r="AM384" i="26"/>
  <c r="AN384" i="26"/>
  <c r="AO384" i="26"/>
  <c r="AP384" i="26"/>
  <c r="AQ384" i="26"/>
  <c r="AR384" i="26"/>
  <c r="AS384" i="26"/>
  <c r="AT384" i="26"/>
  <c r="AU384" i="26"/>
  <c r="AV384" i="26"/>
  <c r="AW384" i="26"/>
  <c r="AX384" i="26"/>
  <c r="AY384" i="26"/>
  <c r="AZ384" i="26"/>
  <c r="BA384" i="26"/>
  <c r="BB384" i="26"/>
  <c r="BC384" i="26"/>
  <c r="BD384" i="26"/>
  <c r="BE384" i="26"/>
  <c r="BF384" i="26"/>
  <c r="BG384" i="26"/>
  <c r="H385" i="26"/>
  <c r="I385" i="26"/>
  <c r="J385" i="26"/>
  <c r="K385" i="26"/>
  <c r="L385" i="26"/>
  <c r="M385" i="26"/>
  <c r="N385" i="26"/>
  <c r="O385" i="26"/>
  <c r="P385" i="26"/>
  <c r="Q385" i="26"/>
  <c r="R385" i="26"/>
  <c r="S385" i="26"/>
  <c r="T385" i="26"/>
  <c r="U385" i="26"/>
  <c r="V385" i="26"/>
  <c r="W385" i="26"/>
  <c r="X385" i="26"/>
  <c r="Y385" i="26"/>
  <c r="Z385" i="26"/>
  <c r="AA385" i="26"/>
  <c r="AB385" i="26"/>
  <c r="AC385" i="26"/>
  <c r="AD385" i="26"/>
  <c r="AE385" i="26"/>
  <c r="AF385" i="26"/>
  <c r="AG385" i="26"/>
  <c r="AH385" i="26"/>
  <c r="AI385" i="26"/>
  <c r="AJ385" i="26"/>
  <c r="AK385" i="26"/>
  <c r="AL385" i="26"/>
  <c r="AM385" i="26"/>
  <c r="AN385" i="26"/>
  <c r="AO385" i="26"/>
  <c r="AP385" i="26"/>
  <c r="AQ385" i="26"/>
  <c r="AR385" i="26"/>
  <c r="AS385" i="26"/>
  <c r="AT385" i="26"/>
  <c r="AU385" i="26"/>
  <c r="AV385" i="26"/>
  <c r="AW385" i="26"/>
  <c r="AX385" i="26"/>
  <c r="AY385" i="26"/>
  <c r="AZ385" i="26"/>
  <c r="BA385" i="26"/>
  <c r="BB385" i="26"/>
  <c r="BC385" i="26"/>
  <c r="BD385" i="26"/>
  <c r="BE385" i="26"/>
  <c r="BF385" i="26"/>
  <c r="BG385" i="26"/>
  <c r="H386" i="26"/>
  <c r="I386" i="26"/>
  <c r="J386" i="26"/>
  <c r="K386" i="26"/>
  <c r="L386" i="26"/>
  <c r="M386" i="26"/>
  <c r="N386" i="26"/>
  <c r="O386" i="26"/>
  <c r="P386" i="26"/>
  <c r="Q386" i="26"/>
  <c r="R386" i="26"/>
  <c r="S386" i="26"/>
  <c r="T386" i="26"/>
  <c r="U386" i="26"/>
  <c r="V386" i="26"/>
  <c r="W386" i="26"/>
  <c r="X386" i="26"/>
  <c r="Y386" i="26"/>
  <c r="Z386" i="26"/>
  <c r="AA386" i="26"/>
  <c r="AB386" i="26"/>
  <c r="AC386" i="26"/>
  <c r="AD386" i="26"/>
  <c r="AE386" i="26"/>
  <c r="AF386" i="26"/>
  <c r="AG386" i="26"/>
  <c r="AH386" i="26"/>
  <c r="AI386" i="26"/>
  <c r="AJ386" i="26"/>
  <c r="AK386" i="26"/>
  <c r="AL386" i="26"/>
  <c r="AM386" i="26"/>
  <c r="AN386" i="26"/>
  <c r="AO386" i="26"/>
  <c r="AP386" i="26"/>
  <c r="AQ386" i="26"/>
  <c r="AR386" i="26"/>
  <c r="AS386" i="26"/>
  <c r="AT386" i="26"/>
  <c r="AU386" i="26"/>
  <c r="AV386" i="26"/>
  <c r="AW386" i="26"/>
  <c r="AX386" i="26"/>
  <c r="AY386" i="26"/>
  <c r="AZ386" i="26"/>
  <c r="BA386" i="26"/>
  <c r="BB386" i="26"/>
  <c r="BC386" i="26"/>
  <c r="BD386" i="26"/>
  <c r="BE386" i="26"/>
  <c r="BF386" i="26"/>
  <c r="BG386" i="26"/>
  <c r="H387" i="26"/>
  <c r="I387" i="26"/>
  <c r="J387" i="26"/>
  <c r="K387" i="26"/>
  <c r="L387" i="26"/>
  <c r="M387" i="26"/>
  <c r="N387" i="26"/>
  <c r="O387" i="26"/>
  <c r="P387" i="26"/>
  <c r="Q387" i="26"/>
  <c r="R387" i="26"/>
  <c r="S387" i="26"/>
  <c r="T387" i="26"/>
  <c r="U387" i="26"/>
  <c r="V387" i="26"/>
  <c r="W387" i="26"/>
  <c r="X387" i="26"/>
  <c r="Y387" i="26"/>
  <c r="Z387" i="26"/>
  <c r="AA387" i="26"/>
  <c r="AB387" i="26"/>
  <c r="AC387" i="26"/>
  <c r="AD387" i="26"/>
  <c r="AE387" i="26"/>
  <c r="AF387" i="26"/>
  <c r="AG387" i="26"/>
  <c r="AH387" i="26"/>
  <c r="AI387" i="26"/>
  <c r="AJ387" i="26"/>
  <c r="AK387" i="26"/>
  <c r="AL387" i="26"/>
  <c r="AM387" i="26"/>
  <c r="AN387" i="26"/>
  <c r="AO387" i="26"/>
  <c r="AP387" i="26"/>
  <c r="AQ387" i="26"/>
  <c r="AR387" i="26"/>
  <c r="AS387" i="26"/>
  <c r="AT387" i="26"/>
  <c r="AU387" i="26"/>
  <c r="AV387" i="26"/>
  <c r="AW387" i="26"/>
  <c r="AX387" i="26"/>
  <c r="AY387" i="26"/>
  <c r="AZ387" i="26"/>
  <c r="BA387" i="26"/>
  <c r="BB387" i="26"/>
  <c r="BC387" i="26"/>
  <c r="BD387" i="26"/>
  <c r="BE387" i="26"/>
  <c r="BF387" i="26"/>
  <c r="BG387" i="26"/>
  <c r="H388" i="26"/>
  <c r="I388" i="26"/>
  <c r="J388" i="26"/>
  <c r="K388" i="26"/>
  <c r="L388" i="26"/>
  <c r="M388" i="26"/>
  <c r="N388" i="26"/>
  <c r="O388" i="26"/>
  <c r="P388" i="26"/>
  <c r="Q388" i="26"/>
  <c r="R388" i="26"/>
  <c r="S388" i="26"/>
  <c r="T388" i="26"/>
  <c r="U388" i="26"/>
  <c r="V388" i="26"/>
  <c r="W388" i="26"/>
  <c r="X388" i="26"/>
  <c r="Y388" i="26"/>
  <c r="Z388" i="26"/>
  <c r="AA388" i="26"/>
  <c r="AB388" i="26"/>
  <c r="AC388" i="26"/>
  <c r="AD388" i="26"/>
  <c r="AE388" i="26"/>
  <c r="AF388" i="26"/>
  <c r="AG388" i="26"/>
  <c r="AH388" i="26"/>
  <c r="AI388" i="26"/>
  <c r="AJ388" i="26"/>
  <c r="AK388" i="26"/>
  <c r="AL388" i="26"/>
  <c r="AM388" i="26"/>
  <c r="AN388" i="26"/>
  <c r="AO388" i="26"/>
  <c r="AP388" i="26"/>
  <c r="AQ388" i="26"/>
  <c r="AR388" i="26"/>
  <c r="AS388" i="26"/>
  <c r="AT388" i="26"/>
  <c r="AU388" i="26"/>
  <c r="AV388" i="26"/>
  <c r="AW388" i="26"/>
  <c r="AX388" i="26"/>
  <c r="AY388" i="26"/>
  <c r="AZ388" i="26"/>
  <c r="BA388" i="26"/>
  <c r="BB388" i="26"/>
  <c r="BC388" i="26"/>
  <c r="BD388" i="26"/>
  <c r="BE388" i="26"/>
  <c r="BF388" i="26"/>
  <c r="BG388" i="26"/>
  <c r="H389" i="26"/>
  <c r="I389" i="26"/>
  <c r="J389" i="26"/>
  <c r="K389" i="26"/>
  <c r="L389" i="26"/>
  <c r="M389" i="26"/>
  <c r="N389" i="26"/>
  <c r="O389" i="26"/>
  <c r="P389" i="26"/>
  <c r="Q389" i="26"/>
  <c r="R389" i="26"/>
  <c r="S389" i="26"/>
  <c r="T389" i="26"/>
  <c r="U389" i="26"/>
  <c r="V389" i="26"/>
  <c r="W389" i="26"/>
  <c r="X389" i="26"/>
  <c r="Y389" i="26"/>
  <c r="Z389" i="26"/>
  <c r="AA389" i="26"/>
  <c r="AB389" i="26"/>
  <c r="AC389" i="26"/>
  <c r="AD389" i="26"/>
  <c r="AE389" i="26"/>
  <c r="AF389" i="26"/>
  <c r="AG389" i="26"/>
  <c r="AH389" i="26"/>
  <c r="AI389" i="26"/>
  <c r="AJ389" i="26"/>
  <c r="AK389" i="26"/>
  <c r="AL389" i="26"/>
  <c r="AM389" i="26"/>
  <c r="AN389" i="26"/>
  <c r="AO389" i="26"/>
  <c r="AP389" i="26"/>
  <c r="AQ389" i="26"/>
  <c r="AR389" i="26"/>
  <c r="AS389" i="26"/>
  <c r="AT389" i="26"/>
  <c r="AU389" i="26"/>
  <c r="AV389" i="26"/>
  <c r="AW389" i="26"/>
  <c r="AX389" i="26"/>
  <c r="AY389" i="26"/>
  <c r="AZ389" i="26"/>
  <c r="BA389" i="26"/>
  <c r="BB389" i="26"/>
  <c r="BC389" i="26"/>
  <c r="BD389" i="26"/>
  <c r="BE389" i="26"/>
  <c r="BF389" i="26"/>
  <c r="BG389" i="26"/>
  <c r="H390" i="26"/>
  <c r="I390" i="26"/>
  <c r="J390" i="26"/>
  <c r="K390" i="26"/>
  <c r="L390" i="26"/>
  <c r="M390" i="26"/>
  <c r="N390" i="26"/>
  <c r="O390" i="26"/>
  <c r="P390" i="26"/>
  <c r="Q390" i="26"/>
  <c r="R390" i="26"/>
  <c r="S390" i="26"/>
  <c r="T390" i="26"/>
  <c r="U390" i="26"/>
  <c r="V390" i="26"/>
  <c r="W390" i="26"/>
  <c r="X390" i="26"/>
  <c r="Y390" i="26"/>
  <c r="Z390" i="26"/>
  <c r="AA390" i="26"/>
  <c r="AB390" i="26"/>
  <c r="AC390" i="26"/>
  <c r="AD390" i="26"/>
  <c r="AE390" i="26"/>
  <c r="AF390" i="26"/>
  <c r="AG390" i="26"/>
  <c r="AH390" i="26"/>
  <c r="AI390" i="26"/>
  <c r="AJ390" i="26"/>
  <c r="AK390" i="26"/>
  <c r="AL390" i="26"/>
  <c r="AM390" i="26"/>
  <c r="AN390" i="26"/>
  <c r="AO390" i="26"/>
  <c r="AP390" i="26"/>
  <c r="AQ390" i="26"/>
  <c r="AR390" i="26"/>
  <c r="AS390" i="26"/>
  <c r="AT390" i="26"/>
  <c r="AU390" i="26"/>
  <c r="AV390" i="26"/>
  <c r="AW390" i="26"/>
  <c r="AX390" i="26"/>
  <c r="AY390" i="26"/>
  <c r="AZ390" i="26"/>
  <c r="BA390" i="26"/>
  <c r="BB390" i="26"/>
  <c r="BC390" i="26"/>
  <c r="BD390" i="26"/>
  <c r="BE390" i="26"/>
  <c r="BF390" i="26"/>
  <c r="BG390" i="26"/>
  <c r="H391" i="26"/>
  <c r="I391" i="26"/>
  <c r="J391" i="26"/>
  <c r="K391" i="26"/>
  <c r="L391" i="26"/>
  <c r="M391" i="26"/>
  <c r="N391" i="26"/>
  <c r="O391" i="26"/>
  <c r="P391" i="26"/>
  <c r="Q391" i="26"/>
  <c r="R391" i="26"/>
  <c r="S391" i="26"/>
  <c r="T391" i="26"/>
  <c r="U391" i="26"/>
  <c r="V391" i="26"/>
  <c r="W391" i="26"/>
  <c r="X391" i="26"/>
  <c r="Y391" i="26"/>
  <c r="Z391" i="26"/>
  <c r="AA391" i="26"/>
  <c r="AB391" i="26"/>
  <c r="AC391" i="26"/>
  <c r="AD391" i="26"/>
  <c r="AE391" i="26"/>
  <c r="AF391" i="26"/>
  <c r="AG391" i="26"/>
  <c r="AH391" i="26"/>
  <c r="AI391" i="26"/>
  <c r="AJ391" i="26"/>
  <c r="AK391" i="26"/>
  <c r="AL391" i="26"/>
  <c r="AM391" i="26"/>
  <c r="AN391" i="26"/>
  <c r="AO391" i="26"/>
  <c r="AP391" i="26"/>
  <c r="AQ391" i="26"/>
  <c r="AR391" i="26"/>
  <c r="AS391" i="26"/>
  <c r="AT391" i="26"/>
  <c r="AU391" i="26"/>
  <c r="AV391" i="26"/>
  <c r="AW391" i="26"/>
  <c r="AX391" i="26"/>
  <c r="AY391" i="26"/>
  <c r="AZ391" i="26"/>
  <c r="BA391" i="26"/>
  <c r="BB391" i="26"/>
  <c r="BC391" i="26"/>
  <c r="BD391" i="26"/>
  <c r="BE391" i="26"/>
  <c r="BF391" i="26"/>
  <c r="BG391" i="26"/>
  <c r="H392" i="26"/>
  <c r="I392" i="26"/>
  <c r="J392" i="26"/>
  <c r="K392" i="26"/>
  <c r="L392" i="26"/>
  <c r="M392" i="26"/>
  <c r="N392" i="26"/>
  <c r="O392" i="26"/>
  <c r="P392" i="26"/>
  <c r="Q392" i="26"/>
  <c r="R392" i="26"/>
  <c r="S392" i="26"/>
  <c r="T392" i="26"/>
  <c r="U392" i="26"/>
  <c r="V392" i="26"/>
  <c r="W392" i="26"/>
  <c r="X392" i="26"/>
  <c r="Y392" i="26"/>
  <c r="Z392" i="26"/>
  <c r="AA392" i="26"/>
  <c r="AB392" i="26"/>
  <c r="AC392" i="26"/>
  <c r="AD392" i="26"/>
  <c r="AE392" i="26"/>
  <c r="AF392" i="26"/>
  <c r="AG392" i="26"/>
  <c r="AH392" i="26"/>
  <c r="AI392" i="26"/>
  <c r="AJ392" i="26"/>
  <c r="AK392" i="26"/>
  <c r="AL392" i="26"/>
  <c r="AM392" i="26"/>
  <c r="AN392" i="26"/>
  <c r="AO392" i="26"/>
  <c r="AP392" i="26"/>
  <c r="AQ392" i="26"/>
  <c r="AR392" i="26"/>
  <c r="AS392" i="26"/>
  <c r="AT392" i="26"/>
  <c r="AU392" i="26"/>
  <c r="AV392" i="26"/>
  <c r="AW392" i="26"/>
  <c r="AX392" i="26"/>
  <c r="AY392" i="26"/>
  <c r="AZ392" i="26"/>
  <c r="BA392" i="26"/>
  <c r="BB392" i="26"/>
  <c r="BC392" i="26"/>
  <c r="BD392" i="26"/>
  <c r="BE392" i="26"/>
  <c r="BF392" i="26"/>
  <c r="BG392" i="26"/>
  <c r="H393" i="26"/>
  <c r="I393" i="26"/>
  <c r="J393" i="26"/>
  <c r="K393" i="26"/>
  <c r="L393" i="26"/>
  <c r="M393" i="26"/>
  <c r="N393" i="26"/>
  <c r="O393" i="26"/>
  <c r="P393" i="26"/>
  <c r="Q393" i="26"/>
  <c r="R393" i="26"/>
  <c r="S393" i="26"/>
  <c r="T393" i="26"/>
  <c r="U393" i="26"/>
  <c r="V393" i="26"/>
  <c r="W393" i="26"/>
  <c r="X393" i="26"/>
  <c r="Y393" i="26"/>
  <c r="Z393" i="26"/>
  <c r="AA393" i="26"/>
  <c r="AB393" i="26"/>
  <c r="AC393" i="26"/>
  <c r="AD393" i="26"/>
  <c r="AE393" i="26"/>
  <c r="AF393" i="26"/>
  <c r="AG393" i="26"/>
  <c r="AH393" i="26"/>
  <c r="AI393" i="26"/>
  <c r="AJ393" i="26"/>
  <c r="AK393" i="26"/>
  <c r="AL393" i="26"/>
  <c r="AM393" i="26"/>
  <c r="AN393" i="26"/>
  <c r="AO393" i="26"/>
  <c r="AP393" i="26"/>
  <c r="AQ393" i="26"/>
  <c r="AR393" i="26"/>
  <c r="AS393" i="26"/>
  <c r="AT393" i="26"/>
  <c r="AU393" i="26"/>
  <c r="AV393" i="26"/>
  <c r="AW393" i="26"/>
  <c r="AX393" i="26"/>
  <c r="AY393" i="26"/>
  <c r="AZ393" i="26"/>
  <c r="BA393" i="26"/>
  <c r="BB393" i="26"/>
  <c r="BC393" i="26"/>
  <c r="BD393" i="26"/>
  <c r="BE393" i="26"/>
  <c r="BF393" i="26"/>
  <c r="BG393" i="26"/>
  <c r="H394" i="26"/>
  <c r="I394" i="26"/>
  <c r="J394" i="26"/>
  <c r="K394" i="26"/>
  <c r="L394" i="26"/>
  <c r="M394" i="26"/>
  <c r="N394" i="26"/>
  <c r="O394" i="26"/>
  <c r="P394" i="26"/>
  <c r="Q394" i="26"/>
  <c r="R394" i="26"/>
  <c r="S394" i="26"/>
  <c r="T394" i="26"/>
  <c r="U394" i="26"/>
  <c r="V394" i="26"/>
  <c r="W394" i="26"/>
  <c r="X394" i="26"/>
  <c r="Y394" i="26"/>
  <c r="Z394" i="26"/>
  <c r="AA394" i="26"/>
  <c r="AB394" i="26"/>
  <c r="AC394" i="26"/>
  <c r="AD394" i="26"/>
  <c r="AE394" i="26"/>
  <c r="AF394" i="26"/>
  <c r="AG394" i="26"/>
  <c r="AH394" i="26"/>
  <c r="AI394" i="26"/>
  <c r="AJ394" i="26"/>
  <c r="AK394" i="26"/>
  <c r="AL394" i="26"/>
  <c r="AM394" i="26"/>
  <c r="AN394" i="26"/>
  <c r="AO394" i="26"/>
  <c r="AP394" i="26"/>
  <c r="AQ394" i="26"/>
  <c r="AR394" i="26"/>
  <c r="AS394" i="26"/>
  <c r="AT394" i="26"/>
  <c r="AU394" i="26"/>
  <c r="AV394" i="26"/>
  <c r="AW394" i="26"/>
  <c r="AX394" i="26"/>
  <c r="AY394" i="26"/>
  <c r="AZ394" i="26"/>
  <c r="BA394" i="26"/>
  <c r="BB394" i="26"/>
  <c r="BC394" i="26"/>
  <c r="BD394" i="26"/>
  <c r="BE394" i="26"/>
  <c r="BF394" i="26"/>
  <c r="BG394" i="26"/>
  <c r="H395" i="26"/>
  <c r="I395" i="26"/>
  <c r="J395" i="26"/>
  <c r="K395" i="26"/>
  <c r="L395" i="26"/>
  <c r="M395" i="26"/>
  <c r="N395" i="26"/>
  <c r="O395" i="26"/>
  <c r="P395" i="26"/>
  <c r="Q395" i="26"/>
  <c r="R395" i="26"/>
  <c r="S395" i="26"/>
  <c r="T395" i="26"/>
  <c r="U395" i="26"/>
  <c r="V395" i="26"/>
  <c r="W395" i="26"/>
  <c r="X395" i="26"/>
  <c r="Y395" i="26"/>
  <c r="Z395" i="26"/>
  <c r="AA395" i="26"/>
  <c r="AB395" i="26"/>
  <c r="AC395" i="26"/>
  <c r="AD395" i="26"/>
  <c r="AE395" i="26"/>
  <c r="AF395" i="26"/>
  <c r="AG395" i="26"/>
  <c r="AH395" i="26"/>
  <c r="AI395" i="26"/>
  <c r="AJ395" i="26"/>
  <c r="AK395" i="26"/>
  <c r="AL395" i="26"/>
  <c r="AM395" i="26"/>
  <c r="AN395" i="26"/>
  <c r="AO395" i="26"/>
  <c r="AP395" i="26"/>
  <c r="AQ395" i="26"/>
  <c r="AR395" i="26"/>
  <c r="AS395" i="26"/>
  <c r="AT395" i="26"/>
  <c r="AU395" i="26"/>
  <c r="AV395" i="26"/>
  <c r="AW395" i="26"/>
  <c r="AX395" i="26"/>
  <c r="AY395" i="26"/>
  <c r="AZ395" i="26"/>
  <c r="BA395" i="26"/>
  <c r="BB395" i="26"/>
  <c r="BC395" i="26"/>
  <c r="BD395" i="26"/>
  <c r="BE395" i="26"/>
  <c r="BF395" i="26"/>
  <c r="BG395" i="26"/>
  <c r="H396" i="26"/>
  <c r="I396" i="26"/>
  <c r="J396" i="26"/>
  <c r="K396" i="26"/>
  <c r="L396" i="26"/>
  <c r="M396" i="26"/>
  <c r="N396" i="26"/>
  <c r="O396" i="26"/>
  <c r="P396" i="26"/>
  <c r="Q396" i="26"/>
  <c r="R396" i="26"/>
  <c r="S396" i="26"/>
  <c r="T396" i="26"/>
  <c r="U396" i="26"/>
  <c r="V396" i="26"/>
  <c r="W396" i="26"/>
  <c r="X396" i="26"/>
  <c r="Y396" i="26"/>
  <c r="Z396" i="26"/>
  <c r="AA396" i="26"/>
  <c r="AB396" i="26"/>
  <c r="AC396" i="26"/>
  <c r="AD396" i="26"/>
  <c r="AE396" i="26"/>
  <c r="AF396" i="26"/>
  <c r="AG396" i="26"/>
  <c r="AH396" i="26"/>
  <c r="AI396" i="26"/>
  <c r="AJ396" i="26"/>
  <c r="AK396" i="26"/>
  <c r="AL396" i="26"/>
  <c r="AM396" i="26"/>
  <c r="AN396" i="26"/>
  <c r="AO396" i="26"/>
  <c r="AP396" i="26"/>
  <c r="AQ396" i="26"/>
  <c r="AR396" i="26"/>
  <c r="AS396" i="26"/>
  <c r="AT396" i="26"/>
  <c r="AU396" i="26"/>
  <c r="AV396" i="26"/>
  <c r="AW396" i="26"/>
  <c r="AX396" i="26"/>
  <c r="AY396" i="26"/>
  <c r="AZ396" i="26"/>
  <c r="BA396" i="26"/>
  <c r="BB396" i="26"/>
  <c r="BC396" i="26"/>
  <c r="BD396" i="26"/>
  <c r="BE396" i="26"/>
  <c r="BF396" i="26"/>
  <c r="BG396" i="26"/>
  <c r="H397" i="26"/>
  <c r="I397" i="26"/>
  <c r="J397" i="26"/>
  <c r="K397" i="26"/>
  <c r="L397" i="26"/>
  <c r="M397" i="26"/>
  <c r="N397" i="26"/>
  <c r="O397" i="26"/>
  <c r="P397" i="26"/>
  <c r="Q397" i="26"/>
  <c r="R397" i="26"/>
  <c r="S397" i="26"/>
  <c r="T397" i="26"/>
  <c r="U397" i="26"/>
  <c r="V397" i="26"/>
  <c r="W397" i="26"/>
  <c r="X397" i="26"/>
  <c r="Y397" i="26"/>
  <c r="Z397" i="26"/>
  <c r="AA397" i="26"/>
  <c r="AB397" i="26"/>
  <c r="AC397" i="26"/>
  <c r="AD397" i="26"/>
  <c r="AE397" i="26"/>
  <c r="AF397" i="26"/>
  <c r="AG397" i="26"/>
  <c r="AH397" i="26"/>
  <c r="AI397" i="26"/>
  <c r="AJ397" i="26"/>
  <c r="AK397" i="26"/>
  <c r="AL397" i="26"/>
  <c r="AM397" i="26"/>
  <c r="AN397" i="26"/>
  <c r="AO397" i="26"/>
  <c r="AP397" i="26"/>
  <c r="AQ397" i="26"/>
  <c r="AR397" i="26"/>
  <c r="AS397" i="26"/>
  <c r="AT397" i="26"/>
  <c r="AU397" i="26"/>
  <c r="AV397" i="26"/>
  <c r="AW397" i="26"/>
  <c r="AX397" i="26"/>
  <c r="AY397" i="26"/>
  <c r="AZ397" i="26"/>
  <c r="BA397" i="26"/>
  <c r="BB397" i="26"/>
  <c r="BC397" i="26"/>
  <c r="BD397" i="26"/>
  <c r="BE397" i="26"/>
  <c r="BF397" i="26"/>
  <c r="BG397" i="26"/>
  <c r="H398" i="26"/>
  <c r="I398" i="26"/>
  <c r="J398" i="26"/>
  <c r="K398" i="26"/>
  <c r="L398" i="26"/>
  <c r="M398" i="26"/>
  <c r="N398" i="26"/>
  <c r="O398" i="26"/>
  <c r="P398" i="26"/>
  <c r="Q398" i="26"/>
  <c r="R398" i="26"/>
  <c r="S398" i="26"/>
  <c r="T398" i="26"/>
  <c r="U398" i="26"/>
  <c r="V398" i="26"/>
  <c r="W398" i="26"/>
  <c r="X398" i="26"/>
  <c r="Y398" i="26"/>
  <c r="Z398" i="26"/>
  <c r="AA398" i="26"/>
  <c r="AB398" i="26"/>
  <c r="AC398" i="26"/>
  <c r="AD398" i="26"/>
  <c r="AE398" i="26"/>
  <c r="AF398" i="26"/>
  <c r="AG398" i="26"/>
  <c r="AH398" i="26"/>
  <c r="AI398" i="26"/>
  <c r="AJ398" i="26"/>
  <c r="AK398" i="26"/>
  <c r="AL398" i="26"/>
  <c r="AM398" i="26"/>
  <c r="AN398" i="26"/>
  <c r="AO398" i="26"/>
  <c r="AP398" i="26"/>
  <c r="AQ398" i="26"/>
  <c r="AR398" i="26"/>
  <c r="AS398" i="26"/>
  <c r="AT398" i="26"/>
  <c r="AU398" i="26"/>
  <c r="AV398" i="26"/>
  <c r="AW398" i="26"/>
  <c r="AX398" i="26"/>
  <c r="AY398" i="26"/>
  <c r="AZ398" i="26"/>
  <c r="BA398" i="26"/>
  <c r="BB398" i="26"/>
  <c r="BC398" i="26"/>
  <c r="BD398" i="26"/>
  <c r="BE398" i="26"/>
  <c r="BF398" i="26"/>
  <c r="BG398" i="26"/>
  <c r="H399" i="26"/>
  <c r="I399" i="26"/>
  <c r="J399" i="26"/>
  <c r="K399" i="26"/>
  <c r="L399" i="26"/>
  <c r="M399" i="26"/>
  <c r="N399" i="26"/>
  <c r="O399" i="26"/>
  <c r="P399" i="26"/>
  <c r="Q399" i="26"/>
  <c r="R399" i="26"/>
  <c r="S399" i="26"/>
  <c r="T399" i="26"/>
  <c r="U399" i="26"/>
  <c r="V399" i="26"/>
  <c r="W399" i="26"/>
  <c r="X399" i="26"/>
  <c r="Y399" i="26"/>
  <c r="Z399" i="26"/>
  <c r="AA399" i="26"/>
  <c r="AB399" i="26"/>
  <c r="AC399" i="26"/>
  <c r="AD399" i="26"/>
  <c r="AE399" i="26"/>
  <c r="AF399" i="26"/>
  <c r="AG399" i="26"/>
  <c r="AH399" i="26"/>
  <c r="AI399" i="26"/>
  <c r="AJ399" i="26"/>
  <c r="AK399" i="26"/>
  <c r="AL399" i="26"/>
  <c r="AM399" i="26"/>
  <c r="AN399" i="26"/>
  <c r="AO399" i="26"/>
  <c r="AP399" i="26"/>
  <c r="AQ399" i="26"/>
  <c r="AR399" i="26"/>
  <c r="AS399" i="26"/>
  <c r="AT399" i="26"/>
  <c r="AU399" i="26"/>
  <c r="AV399" i="26"/>
  <c r="AW399" i="26"/>
  <c r="AX399" i="26"/>
  <c r="AY399" i="26"/>
  <c r="AZ399" i="26"/>
  <c r="BA399" i="26"/>
  <c r="BB399" i="26"/>
  <c r="BC399" i="26"/>
  <c r="BD399" i="26"/>
  <c r="BE399" i="26"/>
  <c r="BF399" i="26"/>
  <c r="BG399" i="26"/>
  <c r="H400" i="26"/>
  <c r="I400" i="26"/>
  <c r="J400" i="26"/>
  <c r="K400" i="26"/>
  <c r="L400" i="26"/>
  <c r="M400" i="26"/>
  <c r="N400" i="26"/>
  <c r="O400" i="26"/>
  <c r="P400" i="26"/>
  <c r="Q400" i="26"/>
  <c r="R400" i="26"/>
  <c r="S400" i="26"/>
  <c r="T400" i="26"/>
  <c r="U400" i="26"/>
  <c r="V400" i="26"/>
  <c r="W400" i="26"/>
  <c r="X400" i="26"/>
  <c r="Y400" i="26"/>
  <c r="Z400" i="26"/>
  <c r="AA400" i="26"/>
  <c r="AB400" i="26"/>
  <c r="AC400" i="26"/>
  <c r="AD400" i="26"/>
  <c r="AE400" i="26"/>
  <c r="AF400" i="26"/>
  <c r="AG400" i="26"/>
  <c r="AH400" i="26"/>
  <c r="AI400" i="26"/>
  <c r="AJ400" i="26"/>
  <c r="AK400" i="26"/>
  <c r="AL400" i="26"/>
  <c r="AM400" i="26"/>
  <c r="AN400" i="26"/>
  <c r="AO400" i="26"/>
  <c r="AP400" i="26"/>
  <c r="AQ400" i="26"/>
  <c r="AR400" i="26"/>
  <c r="AS400" i="26"/>
  <c r="AT400" i="26"/>
  <c r="AU400" i="26"/>
  <c r="AV400" i="26"/>
  <c r="AW400" i="26"/>
  <c r="AX400" i="26"/>
  <c r="AY400" i="26"/>
  <c r="AZ400" i="26"/>
  <c r="BA400" i="26"/>
  <c r="BB400" i="26"/>
  <c r="BC400" i="26"/>
  <c r="BD400" i="26"/>
  <c r="BE400" i="26"/>
  <c r="BF400" i="26"/>
  <c r="BG400" i="26"/>
  <c r="H401" i="26"/>
  <c r="I401" i="26"/>
  <c r="J401" i="26"/>
  <c r="K401" i="26"/>
  <c r="L401" i="26"/>
  <c r="M401" i="26"/>
  <c r="N401" i="26"/>
  <c r="O401" i="26"/>
  <c r="P401" i="26"/>
  <c r="Q401" i="26"/>
  <c r="R401" i="26"/>
  <c r="S401" i="26"/>
  <c r="T401" i="26"/>
  <c r="U401" i="26"/>
  <c r="V401" i="26"/>
  <c r="W401" i="26"/>
  <c r="X401" i="26"/>
  <c r="Y401" i="26"/>
  <c r="Z401" i="26"/>
  <c r="AA401" i="26"/>
  <c r="AB401" i="26"/>
  <c r="AC401" i="26"/>
  <c r="AD401" i="26"/>
  <c r="AE401" i="26"/>
  <c r="AF401" i="26"/>
  <c r="AG401" i="26"/>
  <c r="AH401" i="26"/>
  <c r="AI401" i="26"/>
  <c r="AJ401" i="26"/>
  <c r="AK401" i="26"/>
  <c r="AL401" i="26"/>
  <c r="AM401" i="26"/>
  <c r="AN401" i="26"/>
  <c r="AO401" i="26"/>
  <c r="AP401" i="26"/>
  <c r="AQ401" i="26"/>
  <c r="AR401" i="26"/>
  <c r="AS401" i="26"/>
  <c r="AT401" i="26"/>
  <c r="AU401" i="26"/>
  <c r="AV401" i="26"/>
  <c r="AW401" i="26"/>
  <c r="AX401" i="26"/>
  <c r="AY401" i="26"/>
  <c r="AZ401" i="26"/>
  <c r="BA401" i="26"/>
  <c r="BB401" i="26"/>
  <c r="BC401" i="26"/>
  <c r="BD401" i="26"/>
  <c r="BE401" i="26"/>
  <c r="BF401" i="26"/>
  <c r="BG401" i="26"/>
  <c r="H402" i="26"/>
  <c r="I402" i="26"/>
  <c r="J402" i="26"/>
  <c r="K402" i="26"/>
  <c r="L402" i="26"/>
  <c r="M402" i="26"/>
  <c r="N402" i="26"/>
  <c r="O402" i="26"/>
  <c r="P402" i="26"/>
  <c r="Q402" i="26"/>
  <c r="R402" i="26"/>
  <c r="S402" i="26"/>
  <c r="T402" i="26"/>
  <c r="U402" i="26"/>
  <c r="V402" i="26"/>
  <c r="W402" i="26"/>
  <c r="X402" i="26"/>
  <c r="Y402" i="26"/>
  <c r="Z402" i="26"/>
  <c r="AA402" i="26"/>
  <c r="AB402" i="26"/>
  <c r="AC402" i="26"/>
  <c r="AD402" i="26"/>
  <c r="AE402" i="26"/>
  <c r="AF402" i="26"/>
  <c r="AG402" i="26"/>
  <c r="AH402" i="26"/>
  <c r="AI402" i="26"/>
  <c r="AJ402" i="26"/>
  <c r="AK402" i="26"/>
  <c r="AL402" i="26"/>
  <c r="AM402" i="26"/>
  <c r="AN402" i="26"/>
  <c r="AO402" i="26"/>
  <c r="AP402" i="26"/>
  <c r="AQ402" i="26"/>
  <c r="AR402" i="26"/>
  <c r="AS402" i="26"/>
  <c r="AT402" i="26"/>
  <c r="AU402" i="26"/>
  <c r="AV402" i="26"/>
  <c r="AW402" i="26"/>
  <c r="AX402" i="26"/>
  <c r="AY402" i="26"/>
  <c r="AZ402" i="26"/>
  <c r="BA402" i="26"/>
  <c r="BB402" i="26"/>
  <c r="BC402" i="26"/>
  <c r="BD402" i="26"/>
  <c r="BE402" i="26"/>
  <c r="BF402" i="26"/>
  <c r="BG402" i="26"/>
  <c r="H403" i="26"/>
  <c r="I403" i="26"/>
  <c r="J403" i="26"/>
  <c r="K403" i="26"/>
  <c r="L403" i="26"/>
  <c r="M403" i="26"/>
  <c r="N403" i="26"/>
  <c r="O403" i="26"/>
  <c r="P403" i="26"/>
  <c r="Q403" i="26"/>
  <c r="R403" i="26"/>
  <c r="S403" i="26"/>
  <c r="T403" i="26"/>
  <c r="U403" i="26"/>
  <c r="V403" i="26"/>
  <c r="W403" i="26"/>
  <c r="X403" i="26"/>
  <c r="Y403" i="26"/>
  <c r="Z403" i="26"/>
  <c r="AA403" i="26"/>
  <c r="AB403" i="26"/>
  <c r="AC403" i="26"/>
  <c r="AD403" i="26"/>
  <c r="AE403" i="26"/>
  <c r="AF403" i="26"/>
  <c r="AG403" i="26"/>
  <c r="AH403" i="26"/>
  <c r="AI403" i="26"/>
  <c r="AJ403" i="26"/>
  <c r="AK403" i="26"/>
  <c r="AL403" i="26"/>
  <c r="AM403" i="26"/>
  <c r="AN403" i="26"/>
  <c r="AO403" i="26"/>
  <c r="AP403" i="26"/>
  <c r="AQ403" i="26"/>
  <c r="AR403" i="26"/>
  <c r="AS403" i="26"/>
  <c r="AT403" i="26"/>
  <c r="AU403" i="26"/>
  <c r="AV403" i="26"/>
  <c r="AW403" i="26"/>
  <c r="AX403" i="26"/>
  <c r="AY403" i="26"/>
  <c r="AZ403" i="26"/>
  <c r="BA403" i="26"/>
  <c r="BB403" i="26"/>
  <c r="BC403" i="26"/>
  <c r="BD403" i="26"/>
  <c r="BE403" i="26"/>
  <c r="BF403" i="26"/>
  <c r="BG403" i="26"/>
  <c r="H404" i="26"/>
  <c r="I404" i="26"/>
  <c r="J404" i="26"/>
  <c r="K404" i="26"/>
  <c r="L404" i="26"/>
  <c r="M404" i="26"/>
  <c r="N404" i="26"/>
  <c r="O404" i="26"/>
  <c r="P404" i="26"/>
  <c r="Q404" i="26"/>
  <c r="R404" i="26"/>
  <c r="S404" i="26"/>
  <c r="T404" i="26"/>
  <c r="U404" i="26"/>
  <c r="V404" i="26"/>
  <c r="W404" i="26"/>
  <c r="X404" i="26"/>
  <c r="Y404" i="26"/>
  <c r="Z404" i="26"/>
  <c r="AA404" i="26"/>
  <c r="AB404" i="26"/>
  <c r="AC404" i="26"/>
  <c r="AD404" i="26"/>
  <c r="AE404" i="26"/>
  <c r="AF404" i="26"/>
  <c r="AG404" i="26"/>
  <c r="AH404" i="26"/>
  <c r="AI404" i="26"/>
  <c r="AJ404" i="26"/>
  <c r="AK404" i="26"/>
  <c r="AL404" i="26"/>
  <c r="AM404" i="26"/>
  <c r="AN404" i="26"/>
  <c r="AO404" i="26"/>
  <c r="AP404" i="26"/>
  <c r="AQ404" i="26"/>
  <c r="AR404" i="26"/>
  <c r="AS404" i="26"/>
  <c r="AT404" i="26"/>
  <c r="AU404" i="26"/>
  <c r="AV404" i="26"/>
  <c r="AW404" i="26"/>
  <c r="AX404" i="26"/>
  <c r="AY404" i="26"/>
  <c r="AZ404" i="26"/>
  <c r="BA404" i="26"/>
  <c r="BB404" i="26"/>
  <c r="BC404" i="26"/>
  <c r="BD404" i="26"/>
  <c r="BE404" i="26"/>
  <c r="BF404" i="26"/>
  <c r="BG404" i="26"/>
  <c r="H405" i="26"/>
  <c r="I405" i="26"/>
  <c r="J405" i="26"/>
  <c r="K405" i="26"/>
  <c r="L405" i="26"/>
  <c r="M405" i="26"/>
  <c r="N405" i="26"/>
  <c r="O405" i="26"/>
  <c r="P405" i="26"/>
  <c r="Q405" i="26"/>
  <c r="R405" i="26"/>
  <c r="S405" i="26"/>
  <c r="T405" i="26"/>
  <c r="U405" i="26"/>
  <c r="V405" i="26"/>
  <c r="W405" i="26"/>
  <c r="X405" i="26"/>
  <c r="Y405" i="26"/>
  <c r="Z405" i="26"/>
  <c r="AA405" i="26"/>
  <c r="AB405" i="26"/>
  <c r="AC405" i="26"/>
  <c r="AC510" i="26" s="1"/>
  <c r="AD405" i="26"/>
  <c r="AE405" i="26"/>
  <c r="AF405" i="26"/>
  <c r="AG405" i="26"/>
  <c r="AH405" i="26"/>
  <c r="AI405" i="26"/>
  <c r="AJ405" i="26"/>
  <c r="AK405" i="26"/>
  <c r="AL405" i="26"/>
  <c r="AM405" i="26"/>
  <c r="AN405" i="26"/>
  <c r="AO405" i="26"/>
  <c r="AP405" i="26"/>
  <c r="AQ405" i="26"/>
  <c r="AR405" i="26"/>
  <c r="AS405" i="26"/>
  <c r="AT405" i="26"/>
  <c r="AU405" i="26"/>
  <c r="AV405" i="26"/>
  <c r="AW405" i="26"/>
  <c r="AX405" i="26"/>
  <c r="AY405" i="26"/>
  <c r="AZ405" i="26"/>
  <c r="BA405" i="26"/>
  <c r="BB405" i="26"/>
  <c r="BC405" i="26"/>
  <c r="BD405" i="26"/>
  <c r="BE405" i="26"/>
  <c r="BF405" i="26"/>
  <c r="BG405" i="26"/>
  <c r="H406" i="26"/>
  <c r="I406" i="26"/>
  <c r="J406" i="26"/>
  <c r="K406" i="26"/>
  <c r="L406" i="26"/>
  <c r="M406" i="26"/>
  <c r="N406" i="26"/>
  <c r="O406" i="26"/>
  <c r="P406" i="26"/>
  <c r="Q406" i="26"/>
  <c r="R406" i="26"/>
  <c r="S406" i="26"/>
  <c r="T406" i="26"/>
  <c r="U406" i="26"/>
  <c r="V406" i="26"/>
  <c r="W406" i="26"/>
  <c r="X406" i="26"/>
  <c r="Y406" i="26"/>
  <c r="Z406" i="26"/>
  <c r="AA406" i="26"/>
  <c r="AB406" i="26"/>
  <c r="AC406" i="26"/>
  <c r="AD406" i="26"/>
  <c r="AE406" i="26"/>
  <c r="AF406" i="26"/>
  <c r="AG406" i="26"/>
  <c r="AH406" i="26"/>
  <c r="AI406" i="26"/>
  <c r="AJ406" i="26"/>
  <c r="AK406" i="26"/>
  <c r="AL406" i="26"/>
  <c r="AM406" i="26"/>
  <c r="AN406" i="26"/>
  <c r="AO406" i="26"/>
  <c r="AP406" i="26"/>
  <c r="AQ406" i="26"/>
  <c r="AR406" i="26"/>
  <c r="AS406" i="26"/>
  <c r="AT406" i="26"/>
  <c r="AU406" i="26"/>
  <c r="AV406" i="26"/>
  <c r="AW406" i="26"/>
  <c r="AX406" i="26"/>
  <c r="AY406" i="26"/>
  <c r="AZ406" i="26"/>
  <c r="BA406" i="26"/>
  <c r="BB406" i="26"/>
  <c r="BC406" i="26"/>
  <c r="BD406" i="26"/>
  <c r="BE406" i="26"/>
  <c r="BF406" i="26"/>
  <c r="BG406" i="26"/>
  <c r="H407" i="26"/>
  <c r="I407" i="26"/>
  <c r="J407" i="26"/>
  <c r="K407" i="26"/>
  <c r="L407" i="26"/>
  <c r="M407" i="26"/>
  <c r="N407" i="26"/>
  <c r="O407" i="26"/>
  <c r="P407" i="26"/>
  <c r="Q407" i="26"/>
  <c r="R407" i="26"/>
  <c r="S407" i="26"/>
  <c r="T407" i="26"/>
  <c r="U407" i="26"/>
  <c r="V407" i="26"/>
  <c r="W407" i="26"/>
  <c r="X407" i="26"/>
  <c r="Y407" i="26"/>
  <c r="Z407" i="26"/>
  <c r="AA407" i="26"/>
  <c r="AB407" i="26"/>
  <c r="AC407" i="26"/>
  <c r="AD407" i="26"/>
  <c r="AE407" i="26"/>
  <c r="AF407" i="26"/>
  <c r="AG407" i="26"/>
  <c r="AH407" i="26"/>
  <c r="AI407" i="26"/>
  <c r="AJ407" i="26"/>
  <c r="AK407" i="26"/>
  <c r="AL407" i="26"/>
  <c r="AM407" i="26"/>
  <c r="AN407" i="26"/>
  <c r="AO407" i="26"/>
  <c r="AP407" i="26"/>
  <c r="AQ407" i="26"/>
  <c r="AR407" i="26"/>
  <c r="AS407" i="26"/>
  <c r="AT407" i="26"/>
  <c r="AU407" i="26"/>
  <c r="AV407" i="26"/>
  <c r="AW407" i="26"/>
  <c r="AX407" i="26"/>
  <c r="AY407" i="26"/>
  <c r="AZ407" i="26"/>
  <c r="BA407" i="26"/>
  <c r="BB407" i="26"/>
  <c r="BC407" i="26"/>
  <c r="BD407" i="26"/>
  <c r="BE407" i="26"/>
  <c r="BF407" i="26"/>
  <c r="BG407" i="26"/>
  <c r="H408" i="26"/>
  <c r="I408" i="26"/>
  <c r="J408" i="26"/>
  <c r="K408" i="26"/>
  <c r="L408" i="26"/>
  <c r="M408" i="26"/>
  <c r="N408" i="26"/>
  <c r="O408" i="26"/>
  <c r="P408" i="26"/>
  <c r="Q408" i="26"/>
  <c r="R408" i="26"/>
  <c r="S408" i="26"/>
  <c r="T408" i="26"/>
  <c r="U408" i="26"/>
  <c r="V408" i="26"/>
  <c r="W408" i="26"/>
  <c r="X408" i="26"/>
  <c r="Y408" i="26"/>
  <c r="Z408" i="26"/>
  <c r="AA408" i="26"/>
  <c r="AB408" i="26"/>
  <c r="AC408" i="26"/>
  <c r="AD408" i="26"/>
  <c r="AE408" i="26"/>
  <c r="AF408" i="26"/>
  <c r="AG408" i="26"/>
  <c r="AH408" i="26"/>
  <c r="AI408" i="26"/>
  <c r="AJ408" i="26"/>
  <c r="AK408" i="26"/>
  <c r="AL408" i="26"/>
  <c r="AM408" i="26"/>
  <c r="AN408" i="26"/>
  <c r="AO408" i="26"/>
  <c r="AP408" i="26"/>
  <c r="AQ408" i="26"/>
  <c r="AR408" i="26"/>
  <c r="AS408" i="26"/>
  <c r="AT408" i="26"/>
  <c r="AU408" i="26"/>
  <c r="AV408" i="26"/>
  <c r="AW408" i="26"/>
  <c r="AX408" i="26"/>
  <c r="AY408" i="26"/>
  <c r="AZ408" i="26"/>
  <c r="BA408" i="26"/>
  <c r="BB408" i="26"/>
  <c r="BC408" i="26"/>
  <c r="BD408" i="26"/>
  <c r="BE408" i="26"/>
  <c r="BF408" i="26"/>
  <c r="BG408" i="26"/>
  <c r="H409" i="26"/>
  <c r="I409" i="26"/>
  <c r="J409" i="26"/>
  <c r="K409" i="26"/>
  <c r="L409" i="26"/>
  <c r="M409" i="26"/>
  <c r="N409" i="26"/>
  <c r="O409" i="26"/>
  <c r="P409" i="26"/>
  <c r="Q409" i="26"/>
  <c r="R409" i="26"/>
  <c r="S409" i="26"/>
  <c r="T409" i="26"/>
  <c r="U409" i="26"/>
  <c r="V409" i="26"/>
  <c r="W409" i="26"/>
  <c r="X409" i="26"/>
  <c r="Y409" i="26"/>
  <c r="Z409" i="26"/>
  <c r="AA409" i="26"/>
  <c r="AB409" i="26"/>
  <c r="AC409" i="26"/>
  <c r="AD409" i="26"/>
  <c r="AE409" i="26"/>
  <c r="AF409" i="26"/>
  <c r="AG409" i="26"/>
  <c r="AH409" i="26"/>
  <c r="AI409" i="26"/>
  <c r="AJ409" i="26"/>
  <c r="AK409" i="26"/>
  <c r="AL409" i="26"/>
  <c r="AM409" i="26"/>
  <c r="AN409" i="26"/>
  <c r="AO409" i="26"/>
  <c r="AP409" i="26"/>
  <c r="AQ409" i="26"/>
  <c r="AR409" i="26"/>
  <c r="AS409" i="26"/>
  <c r="AT409" i="26"/>
  <c r="AU409" i="26"/>
  <c r="AV409" i="26"/>
  <c r="AW409" i="26"/>
  <c r="AX409" i="26"/>
  <c r="AY409" i="26"/>
  <c r="AZ409" i="26"/>
  <c r="BA409" i="26"/>
  <c r="BB409" i="26"/>
  <c r="BC409" i="26"/>
  <c r="BD409" i="26"/>
  <c r="BE409" i="26"/>
  <c r="BF409" i="26"/>
  <c r="BG409" i="26"/>
  <c r="H410" i="26"/>
  <c r="I410" i="26"/>
  <c r="J410" i="26"/>
  <c r="K410" i="26"/>
  <c r="L410" i="26"/>
  <c r="M410" i="26"/>
  <c r="N410" i="26"/>
  <c r="O410" i="26"/>
  <c r="P410" i="26"/>
  <c r="Q410" i="26"/>
  <c r="R410" i="26"/>
  <c r="S410" i="26"/>
  <c r="T410" i="26"/>
  <c r="U410" i="26"/>
  <c r="V410" i="26"/>
  <c r="W410" i="26"/>
  <c r="X410" i="26"/>
  <c r="Y410" i="26"/>
  <c r="Z410" i="26"/>
  <c r="AA410" i="26"/>
  <c r="AB410" i="26"/>
  <c r="AC410" i="26"/>
  <c r="AD410" i="26"/>
  <c r="AE410" i="26"/>
  <c r="AF410" i="26"/>
  <c r="AG410" i="26"/>
  <c r="AH410" i="26"/>
  <c r="AI410" i="26"/>
  <c r="AJ410" i="26"/>
  <c r="AK410" i="26"/>
  <c r="AL410" i="26"/>
  <c r="AM410" i="26"/>
  <c r="AN410" i="26"/>
  <c r="AO410" i="26"/>
  <c r="AP410" i="26"/>
  <c r="AQ410" i="26"/>
  <c r="AR410" i="26"/>
  <c r="AS410" i="26"/>
  <c r="AT410" i="26"/>
  <c r="AU410" i="26"/>
  <c r="AV410" i="26"/>
  <c r="AW410" i="26"/>
  <c r="AX410" i="26"/>
  <c r="AY410" i="26"/>
  <c r="AZ410" i="26"/>
  <c r="BA410" i="26"/>
  <c r="BB410" i="26"/>
  <c r="BC410" i="26"/>
  <c r="BD410" i="26"/>
  <c r="BE410" i="26"/>
  <c r="BF410" i="26"/>
  <c r="BG410" i="26"/>
  <c r="H411" i="26"/>
  <c r="I411" i="26"/>
  <c r="J411" i="26"/>
  <c r="K411" i="26"/>
  <c r="L411" i="26"/>
  <c r="M411" i="26"/>
  <c r="N411" i="26"/>
  <c r="O411" i="26"/>
  <c r="P411" i="26"/>
  <c r="Q411" i="26"/>
  <c r="R411" i="26"/>
  <c r="S411" i="26"/>
  <c r="T411" i="26"/>
  <c r="U411" i="26"/>
  <c r="V411" i="26"/>
  <c r="W411" i="26"/>
  <c r="X411" i="26"/>
  <c r="Y411" i="26"/>
  <c r="Z411" i="26"/>
  <c r="AA411" i="26"/>
  <c r="AB411" i="26"/>
  <c r="AC411" i="26"/>
  <c r="AD411" i="26"/>
  <c r="AE411" i="26"/>
  <c r="AF411" i="26"/>
  <c r="AG411" i="26"/>
  <c r="AH411" i="26"/>
  <c r="AI411" i="26"/>
  <c r="AJ411" i="26"/>
  <c r="AK411" i="26"/>
  <c r="AL411" i="26"/>
  <c r="AM411" i="26"/>
  <c r="AN411" i="26"/>
  <c r="AO411" i="26"/>
  <c r="AP411" i="26"/>
  <c r="AQ411" i="26"/>
  <c r="AR411" i="26"/>
  <c r="AS411" i="26"/>
  <c r="AT411" i="26"/>
  <c r="AU411" i="26"/>
  <c r="AV411" i="26"/>
  <c r="AW411" i="26"/>
  <c r="AX411" i="26"/>
  <c r="AY411" i="26"/>
  <c r="AZ411" i="26"/>
  <c r="BA411" i="26"/>
  <c r="BB411" i="26"/>
  <c r="BC411" i="26"/>
  <c r="BD411" i="26"/>
  <c r="BE411" i="26"/>
  <c r="BF411" i="26"/>
  <c r="BG411" i="26"/>
  <c r="H412" i="26"/>
  <c r="I412" i="26"/>
  <c r="J412" i="26"/>
  <c r="K412" i="26"/>
  <c r="L412" i="26"/>
  <c r="M412" i="26"/>
  <c r="N412" i="26"/>
  <c r="O412" i="26"/>
  <c r="P412" i="26"/>
  <c r="Q412" i="26"/>
  <c r="R412" i="26"/>
  <c r="S412" i="26"/>
  <c r="T412" i="26"/>
  <c r="U412" i="26"/>
  <c r="V412" i="26"/>
  <c r="W412" i="26"/>
  <c r="X412" i="26"/>
  <c r="Y412" i="26"/>
  <c r="Z412" i="26"/>
  <c r="AA412" i="26"/>
  <c r="AB412" i="26"/>
  <c r="AC412" i="26"/>
  <c r="AD412" i="26"/>
  <c r="AE412" i="26"/>
  <c r="AF412" i="26"/>
  <c r="AG412" i="26"/>
  <c r="AH412" i="26"/>
  <c r="AI412" i="26"/>
  <c r="AJ412" i="26"/>
  <c r="AK412" i="26"/>
  <c r="AL412" i="26"/>
  <c r="AM412" i="26"/>
  <c r="AN412" i="26"/>
  <c r="AO412" i="26"/>
  <c r="AP412" i="26"/>
  <c r="AQ412" i="26"/>
  <c r="AR412" i="26"/>
  <c r="AS412" i="26"/>
  <c r="AT412" i="26"/>
  <c r="AU412" i="26"/>
  <c r="AV412" i="26"/>
  <c r="AW412" i="26"/>
  <c r="AX412" i="26"/>
  <c r="AY412" i="26"/>
  <c r="AZ412" i="26"/>
  <c r="BA412" i="26"/>
  <c r="BB412" i="26"/>
  <c r="BC412" i="26"/>
  <c r="BD412" i="26"/>
  <c r="BE412" i="26"/>
  <c r="BF412" i="26"/>
  <c r="BG412" i="26"/>
  <c r="H413" i="26"/>
  <c r="I413" i="26"/>
  <c r="J413" i="26"/>
  <c r="K413" i="26"/>
  <c r="L413" i="26"/>
  <c r="M413" i="26"/>
  <c r="N413" i="26"/>
  <c r="O413" i="26"/>
  <c r="P413" i="26"/>
  <c r="Q413" i="26"/>
  <c r="R413" i="26"/>
  <c r="S413" i="26"/>
  <c r="T413" i="26"/>
  <c r="U413" i="26"/>
  <c r="V413" i="26"/>
  <c r="W413" i="26"/>
  <c r="X413" i="26"/>
  <c r="Y413" i="26"/>
  <c r="Z413" i="26"/>
  <c r="AA413" i="26"/>
  <c r="AB413" i="26"/>
  <c r="AC413" i="26"/>
  <c r="AD413" i="26"/>
  <c r="AE413" i="26"/>
  <c r="AF413" i="26"/>
  <c r="AG413" i="26"/>
  <c r="AH413" i="26"/>
  <c r="AI413" i="26"/>
  <c r="AJ413" i="26"/>
  <c r="AK413" i="26"/>
  <c r="AL413" i="26"/>
  <c r="AM413" i="26"/>
  <c r="AN413" i="26"/>
  <c r="AO413" i="26"/>
  <c r="AP413" i="26"/>
  <c r="AQ413" i="26"/>
  <c r="AR413" i="26"/>
  <c r="AS413" i="26"/>
  <c r="AT413" i="26"/>
  <c r="AU413" i="26"/>
  <c r="AV413" i="26"/>
  <c r="AW413" i="26"/>
  <c r="AX413" i="26"/>
  <c r="AY413" i="26"/>
  <c r="AZ413" i="26"/>
  <c r="BA413" i="26"/>
  <c r="BB413" i="26"/>
  <c r="BC413" i="26"/>
  <c r="BD413" i="26"/>
  <c r="BE413" i="26"/>
  <c r="BF413" i="26"/>
  <c r="BG413" i="26"/>
  <c r="H414" i="26"/>
  <c r="I414" i="26"/>
  <c r="J414" i="26"/>
  <c r="K414" i="26"/>
  <c r="L414" i="26"/>
  <c r="M414" i="26"/>
  <c r="N414" i="26"/>
  <c r="O414" i="26"/>
  <c r="P414" i="26"/>
  <c r="Q414" i="26"/>
  <c r="R414" i="26"/>
  <c r="S414" i="26"/>
  <c r="T414" i="26"/>
  <c r="U414" i="26"/>
  <c r="V414" i="26"/>
  <c r="W414" i="26"/>
  <c r="X414" i="26"/>
  <c r="Y414" i="26"/>
  <c r="Z414" i="26"/>
  <c r="AA414" i="26"/>
  <c r="AB414" i="26"/>
  <c r="AC414" i="26"/>
  <c r="AD414" i="26"/>
  <c r="AE414" i="26"/>
  <c r="AF414" i="26"/>
  <c r="AG414" i="26"/>
  <c r="AH414" i="26"/>
  <c r="AI414" i="26"/>
  <c r="AJ414" i="26"/>
  <c r="AK414" i="26"/>
  <c r="AL414" i="26"/>
  <c r="AM414" i="26"/>
  <c r="AN414" i="26"/>
  <c r="AO414" i="26"/>
  <c r="AP414" i="26"/>
  <c r="AQ414" i="26"/>
  <c r="AR414" i="26"/>
  <c r="AS414" i="26"/>
  <c r="AT414" i="26"/>
  <c r="AU414" i="26"/>
  <c r="AV414" i="26"/>
  <c r="AW414" i="26"/>
  <c r="AX414" i="26"/>
  <c r="AY414" i="26"/>
  <c r="AZ414" i="26"/>
  <c r="BA414" i="26"/>
  <c r="BB414" i="26"/>
  <c r="BC414" i="26"/>
  <c r="BD414" i="26"/>
  <c r="BE414" i="26"/>
  <c r="BF414" i="26"/>
  <c r="BG414" i="26"/>
  <c r="H415" i="26"/>
  <c r="I415" i="26"/>
  <c r="J415" i="26"/>
  <c r="K415" i="26"/>
  <c r="L415" i="26"/>
  <c r="M415" i="26"/>
  <c r="N415" i="26"/>
  <c r="O415" i="26"/>
  <c r="P415" i="26"/>
  <c r="Q415" i="26"/>
  <c r="R415" i="26"/>
  <c r="S415" i="26"/>
  <c r="T415" i="26"/>
  <c r="U415" i="26"/>
  <c r="V415" i="26"/>
  <c r="W415" i="26"/>
  <c r="X415" i="26"/>
  <c r="Y415" i="26"/>
  <c r="Z415" i="26"/>
  <c r="AA415" i="26"/>
  <c r="AB415" i="26"/>
  <c r="AC415" i="26"/>
  <c r="AD415" i="26"/>
  <c r="AE415" i="26"/>
  <c r="AF415" i="26"/>
  <c r="AG415" i="26"/>
  <c r="AH415" i="26"/>
  <c r="AI415" i="26"/>
  <c r="AJ415" i="26"/>
  <c r="AK415" i="26"/>
  <c r="AL415" i="26"/>
  <c r="AM415" i="26"/>
  <c r="AN415" i="26"/>
  <c r="AO415" i="26"/>
  <c r="AP415" i="26"/>
  <c r="AQ415" i="26"/>
  <c r="AR415" i="26"/>
  <c r="AS415" i="26"/>
  <c r="AT415" i="26"/>
  <c r="AU415" i="26"/>
  <c r="AV415" i="26"/>
  <c r="AW415" i="26"/>
  <c r="AX415" i="26"/>
  <c r="AY415" i="26"/>
  <c r="AZ415" i="26"/>
  <c r="BA415" i="26"/>
  <c r="BB415" i="26"/>
  <c r="BC415" i="26"/>
  <c r="BD415" i="26"/>
  <c r="BE415" i="26"/>
  <c r="BF415" i="26"/>
  <c r="BG415" i="26"/>
  <c r="H416" i="26"/>
  <c r="I416" i="26"/>
  <c r="J416" i="26"/>
  <c r="K416" i="26"/>
  <c r="L416" i="26"/>
  <c r="M416" i="26"/>
  <c r="N416" i="26"/>
  <c r="O416" i="26"/>
  <c r="P416" i="26"/>
  <c r="Q416" i="26"/>
  <c r="R416" i="26"/>
  <c r="S416" i="26"/>
  <c r="T416" i="26"/>
  <c r="U416" i="26"/>
  <c r="V416" i="26"/>
  <c r="W416" i="26"/>
  <c r="X416" i="26"/>
  <c r="Y416" i="26"/>
  <c r="Z416" i="26"/>
  <c r="AA416" i="26"/>
  <c r="AB416" i="26"/>
  <c r="AC416" i="26"/>
  <c r="AD416" i="26"/>
  <c r="AE416" i="26"/>
  <c r="AF416" i="26"/>
  <c r="AG416" i="26"/>
  <c r="AH416" i="26"/>
  <c r="AI416" i="26"/>
  <c r="AJ416" i="26"/>
  <c r="AK416" i="26"/>
  <c r="AL416" i="26"/>
  <c r="AM416" i="26"/>
  <c r="AN416" i="26"/>
  <c r="AO416" i="26"/>
  <c r="AP416" i="26"/>
  <c r="AQ416" i="26"/>
  <c r="AR416" i="26"/>
  <c r="AS416" i="26"/>
  <c r="AT416" i="26"/>
  <c r="AU416" i="26"/>
  <c r="AV416" i="26"/>
  <c r="AW416" i="26"/>
  <c r="AX416" i="26"/>
  <c r="AY416" i="26"/>
  <c r="AZ416" i="26"/>
  <c r="BA416" i="26"/>
  <c r="BB416" i="26"/>
  <c r="BC416" i="26"/>
  <c r="BD416" i="26"/>
  <c r="BE416" i="26"/>
  <c r="BF416" i="26"/>
  <c r="BG416" i="26"/>
  <c r="H417" i="26"/>
  <c r="I417" i="26"/>
  <c r="J417" i="26"/>
  <c r="K417" i="26"/>
  <c r="L417" i="26"/>
  <c r="M417" i="26"/>
  <c r="N417" i="26"/>
  <c r="O417" i="26"/>
  <c r="P417" i="26"/>
  <c r="Q417" i="26"/>
  <c r="R417" i="26"/>
  <c r="S417" i="26"/>
  <c r="T417" i="26"/>
  <c r="U417" i="26"/>
  <c r="V417" i="26"/>
  <c r="W417" i="26"/>
  <c r="X417" i="26"/>
  <c r="Y417" i="26"/>
  <c r="Z417" i="26"/>
  <c r="AA417" i="26"/>
  <c r="AB417" i="26"/>
  <c r="AC417" i="26"/>
  <c r="AD417" i="26"/>
  <c r="AE417" i="26"/>
  <c r="AF417" i="26"/>
  <c r="AG417" i="26"/>
  <c r="AH417" i="26"/>
  <c r="AI417" i="26"/>
  <c r="AJ417" i="26"/>
  <c r="AK417" i="26"/>
  <c r="AL417" i="26"/>
  <c r="AM417" i="26"/>
  <c r="AN417" i="26"/>
  <c r="AO417" i="26"/>
  <c r="AP417" i="26"/>
  <c r="AQ417" i="26"/>
  <c r="AR417" i="26"/>
  <c r="AS417" i="26"/>
  <c r="AT417" i="26"/>
  <c r="AU417" i="26"/>
  <c r="AV417" i="26"/>
  <c r="AW417" i="26"/>
  <c r="AX417" i="26"/>
  <c r="AY417" i="26"/>
  <c r="AZ417" i="26"/>
  <c r="BA417" i="26"/>
  <c r="BB417" i="26"/>
  <c r="BC417" i="26"/>
  <c r="BD417" i="26"/>
  <c r="BE417" i="26"/>
  <c r="BF417" i="26"/>
  <c r="BG417" i="26"/>
  <c r="H418" i="26"/>
  <c r="I418" i="26"/>
  <c r="J418" i="26"/>
  <c r="K418" i="26"/>
  <c r="L418" i="26"/>
  <c r="M418" i="26"/>
  <c r="N418" i="26"/>
  <c r="O418" i="26"/>
  <c r="P418" i="26"/>
  <c r="Q418" i="26"/>
  <c r="R418" i="26"/>
  <c r="S418" i="26"/>
  <c r="T418" i="26"/>
  <c r="U418" i="26"/>
  <c r="V418" i="26"/>
  <c r="W418" i="26"/>
  <c r="X418" i="26"/>
  <c r="Y418" i="26"/>
  <c r="Z418" i="26"/>
  <c r="AA418" i="26"/>
  <c r="AB418" i="26"/>
  <c r="AC418" i="26"/>
  <c r="AD418" i="26"/>
  <c r="AE418" i="26"/>
  <c r="AF418" i="26"/>
  <c r="AG418" i="26"/>
  <c r="AH418" i="26"/>
  <c r="AI418" i="26"/>
  <c r="AJ418" i="26"/>
  <c r="AK418" i="26"/>
  <c r="AL418" i="26"/>
  <c r="AM418" i="26"/>
  <c r="AN418" i="26"/>
  <c r="AO418" i="26"/>
  <c r="AP418" i="26"/>
  <c r="AQ418" i="26"/>
  <c r="AR418" i="26"/>
  <c r="AS418" i="26"/>
  <c r="AT418" i="26"/>
  <c r="AU418" i="26"/>
  <c r="AV418" i="26"/>
  <c r="AW418" i="26"/>
  <c r="AX418" i="26"/>
  <c r="AY418" i="26"/>
  <c r="AZ418" i="26"/>
  <c r="BA418" i="26"/>
  <c r="BB418" i="26"/>
  <c r="BC418" i="26"/>
  <c r="BD418" i="26"/>
  <c r="BE418" i="26"/>
  <c r="BF418" i="26"/>
  <c r="BG418" i="26"/>
  <c r="H419" i="26"/>
  <c r="I419" i="26"/>
  <c r="J419" i="26"/>
  <c r="K419" i="26"/>
  <c r="L419" i="26"/>
  <c r="M419" i="26"/>
  <c r="N419" i="26"/>
  <c r="O419" i="26"/>
  <c r="P419" i="26"/>
  <c r="Q419" i="26"/>
  <c r="R419" i="26"/>
  <c r="S419" i="26"/>
  <c r="T419" i="26"/>
  <c r="U419" i="26"/>
  <c r="V419" i="26"/>
  <c r="W419" i="26"/>
  <c r="X419" i="26"/>
  <c r="Y419" i="26"/>
  <c r="Z419" i="26"/>
  <c r="AA419" i="26"/>
  <c r="AB419" i="26"/>
  <c r="AC419" i="26"/>
  <c r="AD419" i="26"/>
  <c r="AE419" i="26"/>
  <c r="AF419" i="26"/>
  <c r="AG419" i="26"/>
  <c r="AH419" i="26"/>
  <c r="AI419" i="26"/>
  <c r="AJ419" i="26"/>
  <c r="AK419" i="26"/>
  <c r="AL419" i="26"/>
  <c r="AM419" i="26"/>
  <c r="AN419" i="26"/>
  <c r="AO419" i="26"/>
  <c r="AP419" i="26"/>
  <c r="AQ419" i="26"/>
  <c r="AR419" i="26"/>
  <c r="AS419" i="26"/>
  <c r="AT419" i="26"/>
  <c r="AU419" i="26"/>
  <c r="AV419" i="26"/>
  <c r="AW419" i="26"/>
  <c r="AX419" i="26"/>
  <c r="AY419" i="26"/>
  <c r="AZ419" i="26"/>
  <c r="BA419" i="26"/>
  <c r="BB419" i="26"/>
  <c r="BC419" i="26"/>
  <c r="BD419" i="26"/>
  <c r="BE419" i="26"/>
  <c r="BF419" i="26"/>
  <c r="BG419" i="26"/>
  <c r="H420" i="26"/>
  <c r="I420" i="26"/>
  <c r="J420" i="26"/>
  <c r="K420" i="26"/>
  <c r="L420" i="26"/>
  <c r="M420" i="26"/>
  <c r="N420" i="26"/>
  <c r="O420" i="26"/>
  <c r="P420" i="26"/>
  <c r="Q420" i="26"/>
  <c r="R420" i="26"/>
  <c r="S420" i="26"/>
  <c r="T420" i="26"/>
  <c r="U420" i="26"/>
  <c r="V420" i="26"/>
  <c r="W420" i="26"/>
  <c r="X420" i="26"/>
  <c r="Y420" i="26"/>
  <c r="Z420" i="26"/>
  <c r="AA420" i="26"/>
  <c r="AB420" i="26"/>
  <c r="AC420" i="26"/>
  <c r="AD420" i="26"/>
  <c r="AE420" i="26"/>
  <c r="AF420" i="26"/>
  <c r="AG420" i="26"/>
  <c r="AH420" i="26"/>
  <c r="AI420" i="26"/>
  <c r="AJ420" i="26"/>
  <c r="AK420" i="26"/>
  <c r="AL420" i="26"/>
  <c r="AM420" i="26"/>
  <c r="AN420" i="26"/>
  <c r="AO420" i="26"/>
  <c r="AP420" i="26"/>
  <c r="AQ420" i="26"/>
  <c r="AR420" i="26"/>
  <c r="AS420" i="26"/>
  <c r="AT420" i="26"/>
  <c r="AU420" i="26"/>
  <c r="AV420" i="26"/>
  <c r="AW420" i="26"/>
  <c r="AX420" i="26"/>
  <c r="AY420" i="26"/>
  <c r="AZ420" i="26"/>
  <c r="BA420" i="26"/>
  <c r="BB420" i="26"/>
  <c r="BC420" i="26"/>
  <c r="BD420" i="26"/>
  <c r="BE420" i="26"/>
  <c r="BF420" i="26"/>
  <c r="BG420" i="26"/>
  <c r="H421" i="26"/>
  <c r="I421" i="26"/>
  <c r="J421" i="26"/>
  <c r="K421" i="26"/>
  <c r="L421" i="26"/>
  <c r="M421" i="26"/>
  <c r="N421" i="26"/>
  <c r="O421" i="26"/>
  <c r="P421" i="26"/>
  <c r="Q421" i="26"/>
  <c r="R421" i="26"/>
  <c r="S421" i="26"/>
  <c r="T421" i="26"/>
  <c r="U421" i="26"/>
  <c r="V421" i="26"/>
  <c r="W421" i="26"/>
  <c r="X421" i="26"/>
  <c r="Y421" i="26"/>
  <c r="Z421" i="26"/>
  <c r="AA421" i="26"/>
  <c r="AB421" i="26"/>
  <c r="AC421" i="26"/>
  <c r="AD421" i="26"/>
  <c r="AE421" i="26"/>
  <c r="AF421" i="26"/>
  <c r="AG421" i="26"/>
  <c r="AH421" i="26"/>
  <c r="AI421" i="26"/>
  <c r="AJ421" i="26"/>
  <c r="AK421" i="26"/>
  <c r="AL421" i="26"/>
  <c r="AM421" i="26"/>
  <c r="AN421" i="26"/>
  <c r="AO421" i="26"/>
  <c r="AP421" i="26"/>
  <c r="AQ421" i="26"/>
  <c r="AR421" i="26"/>
  <c r="AS421" i="26"/>
  <c r="AT421" i="26"/>
  <c r="AU421" i="26"/>
  <c r="AV421" i="26"/>
  <c r="AW421" i="26"/>
  <c r="AX421" i="26"/>
  <c r="AY421" i="26"/>
  <c r="AZ421" i="26"/>
  <c r="BA421" i="26"/>
  <c r="BB421" i="26"/>
  <c r="BC421" i="26"/>
  <c r="BD421" i="26"/>
  <c r="BE421" i="26"/>
  <c r="BF421" i="26"/>
  <c r="BG421" i="26"/>
  <c r="H422" i="26"/>
  <c r="I422" i="26"/>
  <c r="J422" i="26"/>
  <c r="K422" i="26"/>
  <c r="L422" i="26"/>
  <c r="M422" i="26"/>
  <c r="N422" i="26"/>
  <c r="O422" i="26"/>
  <c r="P422" i="26"/>
  <c r="Q422" i="26"/>
  <c r="R422" i="26"/>
  <c r="S422" i="26"/>
  <c r="T422" i="26"/>
  <c r="U422" i="26"/>
  <c r="V422" i="26"/>
  <c r="W422" i="26"/>
  <c r="X422" i="26"/>
  <c r="Y422" i="26"/>
  <c r="Z422" i="26"/>
  <c r="AA422" i="26"/>
  <c r="AB422" i="26"/>
  <c r="AC422" i="26"/>
  <c r="AD422" i="26"/>
  <c r="AE422" i="26"/>
  <c r="AF422" i="26"/>
  <c r="AG422" i="26"/>
  <c r="AH422" i="26"/>
  <c r="AI422" i="26"/>
  <c r="AJ422" i="26"/>
  <c r="AK422" i="26"/>
  <c r="AL422" i="26"/>
  <c r="AM422" i="26"/>
  <c r="AN422" i="26"/>
  <c r="AO422" i="26"/>
  <c r="AP422" i="26"/>
  <c r="AQ422" i="26"/>
  <c r="AR422" i="26"/>
  <c r="AS422" i="26"/>
  <c r="AT422" i="26"/>
  <c r="AU422" i="26"/>
  <c r="AV422" i="26"/>
  <c r="AW422" i="26"/>
  <c r="AX422" i="26"/>
  <c r="AY422" i="26"/>
  <c r="AZ422" i="26"/>
  <c r="BA422" i="26"/>
  <c r="BB422" i="26"/>
  <c r="BC422" i="26"/>
  <c r="BD422" i="26"/>
  <c r="BE422" i="26"/>
  <c r="BF422" i="26"/>
  <c r="BG422" i="26"/>
  <c r="H423" i="26"/>
  <c r="I423" i="26"/>
  <c r="J423" i="26"/>
  <c r="K423" i="26"/>
  <c r="L423" i="26"/>
  <c r="M423" i="26"/>
  <c r="N423" i="26"/>
  <c r="O423" i="26"/>
  <c r="P423" i="26"/>
  <c r="Q423" i="26"/>
  <c r="R423" i="26"/>
  <c r="S423" i="26"/>
  <c r="T423" i="26"/>
  <c r="U423" i="26"/>
  <c r="V423" i="26"/>
  <c r="W423" i="26"/>
  <c r="X423" i="26"/>
  <c r="Y423" i="26"/>
  <c r="Z423" i="26"/>
  <c r="AA423" i="26"/>
  <c r="AB423" i="26"/>
  <c r="AC423" i="26"/>
  <c r="AD423" i="26"/>
  <c r="AE423" i="26"/>
  <c r="AF423" i="26"/>
  <c r="AG423" i="26"/>
  <c r="AH423" i="26"/>
  <c r="AI423" i="26"/>
  <c r="AJ423" i="26"/>
  <c r="AK423" i="26"/>
  <c r="AL423" i="26"/>
  <c r="AM423" i="26"/>
  <c r="AN423" i="26"/>
  <c r="AO423" i="26"/>
  <c r="AP423" i="26"/>
  <c r="AQ423" i="26"/>
  <c r="AR423" i="26"/>
  <c r="AS423" i="26"/>
  <c r="AT423" i="26"/>
  <c r="AU423" i="26"/>
  <c r="AV423" i="26"/>
  <c r="AW423" i="26"/>
  <c r="AX423" i="26"/>
  <c r="AY423" i="26"/>
  <c r="AZ423" i="26"/>
  <c r="BA423" i="26"/>
  <c r="BB423" i="26"/>
  <c r="BC423" i="26"/>
  <c r="BD423" i="26"/>
  <c r="BE423" i="26"/>
  <c r="BF423" i="26"/>
  <c r="BG423" i="26"/>
  <c r="H424" i="26"/>
  <c r="I424" i="26"/>
  <c r="J424" i="26"/>
  <c r="K424" i="26"/>
  <c r="L424" i="26"/>
  <c r="M424" i="26"/>
  <c r="N424" i="26"/>
  <c r="O424" i="26"/>
  <c r="P424" i="26"/>
  <c r="Q424" i="26"/>
  <c r="R424" i="26"/>
  <c r="S424" i="26"/>
  <c r="T424" i="26"/>
  <c r="U424" i="26"/>
  <c r="V424" i="26"/>
  <c r="W424" i="26"/>
  <c r="X424" i="26"/>
  <c r="Y424" i="26"/>
  <c r="Z424" i="26"/>
  <c r="AA424" i="26"/>
  <c r="AB424" i="26"/>
  <c r="AC424" i="26"/>
  <c r="AD424" i="26"/>
  <c r="AE424" i="26"/>
  <c r="AF424" i="26"/>
  <c r="AG424" i="26"/>
  <c r="AH424" i="26"/>
  <c r="AI424" i="26"/>
  <c r="AJ424" i="26"/>
  <c r="AK424" i="26"/>
  <c r="AL424" i="26"/>
  <c r="AM424" i="26"/>
  <c r="AN424" i="26"/>
  <c r="AO424" i="26"/>
  <c r="AP424" i="26"/>
  <c r="AQ424" i="26"/>
  <c r="AR424" i="26"/>
  <c r="AS424" i="26"/>
  <c r="AT424" i="26"/>
  <c r="AU424" i="26"/>
  <c r="AV424" i="26"/>
  <c r="AW424" i="26"/>
  <c r="AX424" i="26"/>
  <c r="AY424" i="26"/>
  <c r="AZ424" i="26"/>
  <c r="BA424" i="26"/>
  <c r="BB424" i="26"/>
  <c r="BC424" i="26"/>
  <c r="BD424" i="26"/>
  <c r="BE424" i="26"/>
  <c r="BF424" i="26"/>
  <c r="BG424" i="26"/>
  <c r="H425" i="26"/>
  <c r="I425" i="26"/>
  <c r="J425" i="26"/>
  <c r="K425" i="26"/>
  <c r="L425" i="26"/>
  <c r="M425" i="26"/>
  <c r="N425" i="26"/>
  <c r="O425" i="26"/>
  <c r="P425" i="26"/>
  <c r="Q425" i="26"/>
  <c r="R425" i="26"/>
  <c r="S425" i="26"/>
  <c r="T425" i="26"/>
  <c r="U425" i="26"/>
  <c r="V425" i="26"/>
  <c r="W425" i="26"/>
  <c r="X425" i="26"/>
  <c r="Y425" i="26"/>
  <c r="Z425" i="26"/>
  <c r="AA425" i="26"/>
  <c r="AB425" i="26"/>
  <c r="AC425" i="26"/>
  <c r="AD425" i="26"/>
  <c r="AE425" i="26"/>
  <c r="AF425" i="26"/>
  <c r="AG425" i="26"/>
  <c r="AH425" i="26"/>
  <c r="AI425" i="26"/>
  <c r="AJ425" i="26"/>
  <c r="AK425" i="26"/>
  <c r="AL425" i="26"/>
  <c r="AM425" i="26"/>
  <c r="AN425" i="26"/>
  <c r="AO425" i="26"/>
  <c r="AP425" i="26"/>
  <c r="AQ425" i="26"/>
  <c r="AR425" i="26"/>
  <c r="AS425" i="26"/>
  <c r="AT425" i="26"/>
  <c r="AU425" i="26"/>
  <c r="AV425" i="26"/>
  <c r="AW425" i="26"/>
  <c r="AX425" i="26"/>
  <c r="AY425" i="26"/>
  <c r="AZ425" i="26"/>
  <c r="BA425" i="26"/>
  <c r="BB425" i="26"/>
  <c r="BC425" i="26"/>
  <c r="BD425" i="26"/>
  <c r="BE425" i="26"/>
  <c r="BF425" i="26"/>
  <c r="BG425" i="26"/>
  <c r="H426" i="26"/>
  <c r="I426" i="26"/>
  <c r="J426" i="26"/>
  <c r="K426" i="26"/>
  <c r="L426" i="26"/>
  <c r="M426" i="26"/>
  <c r="N426" i="26"/>
  <c r="O426" i="26"/>
  <c r="P426" i="26"/>
  <c r="Q426" i="26"/>
  <c r="R426" i="26"/>
  <c r="S426" i="26"/>
  <c r="T426" i="26"/>
  <c r="U426" i="26"/>
  <c r="V426" i="26"/>
  <c r="W426" i="26"/>
  <c r="X426" i="26"/>
  <c r="Y426" i="26"/>
  <c r="Z426" i="26"/>
  <c r="AA426" i="26"/>
  <c r="AB426" i="26"/>
  <c r="AC426" i="26"/>
  <c r="AD426" i="26"/>
  <c r="AE426" i="26"/>
  <c r="AF426" i="26"/>
  <c r="AG426" i="26"/>
  <c r="AH426" i="26"/>
  <c r="AI426" i="26"/>
  <c r="AJ426" i="26"/>
  <c r="AK426" i="26"/>
  <c r="AL426" i="26"/>
  <c r="AM426" i="26"/>
  <c r="AN426" i="26"/>
  <c r="AO426" i="26"/>
  <c r="AP426" i="26"/>
  <c r="AQ426" i="26"/>
  <c r="AR426" i="26"/>
  <c r="AS426" i="26"/>
  <c r="AT426" i="26"/>
  <c r="AU426" i="26"/>
  <c r="AV426" i="26"/>
  <c r="AW426" i="26"/>
  <c r="AX426" i="26"/>
  <c r="AY426" i="26"/>
  <c r="AZ426" i="26"/>
  <c r="BA426" i="26"/>
  <c r="BB426" i="26"/>
  <c r="BC426" i="26"/>
  <c r="BD426" i="26"/>
  <c r="BE426" i="26"/>
  <c r="BF426" i="26"/>
  <c r="BG426" i="26"/>
  <c r="H427" i="26"/>
  <c r="I427" i="26"/>
  <c r="J427" i="26"/>
  <c r="K427" i="26"/>
  <c r="L427" i="26"/>
  <c r="M427" i="26"/>
  <c r="N427" i="26"/>
  <c r="O427" i="26"/>
  <c r="P427" i="26"/>
  <c r="Q427" i="26"/>
  <c r="R427" i="26"/>
  <c r="S427" i="26"/>
  <c r="T427" i="26"/>
  <c r="U427" i="26"/>
  <c r="V427" i="26"/>
  <c r="W427" i="26"/>
  <c r="X427" i="26"/>
  <c r="Y427" i="26"/>
  <c r="Z427" i="26"/>
  <c r="AA427" i="26"/>
  <c r="AB427" i="26"/>
  <c r="AC427" i="26"/>
  <c r="AD427" i="26"/>
  <c r="AE427" i="26"/>
  <c r="AF427" i="26"/>
  <c r="AG427" i="26"/>
  <c r="AH427" i="26"/>
  <c r="AI427" i="26"/>
  <c r="AJ427" i="26"/>
  <c r="AK427" i="26"/>
  <c r="AL427" i="26"/>
  <c r="AM427" i="26"/>
  <c r="AN427" i="26"/>
  <c r="AO427" i="26"/>
  <c r="AP427" i="26"/>
  <c r="AQ427" i="26"/>
  <c r="AR427" i="26"/>
  <c r="AS427" i="26"/>
  <c r="AT427" i="26"/>
  <c r="AU427" i="26"/>
  <c r="AV427" i="26"/>
  <c r="AW427" i="26"/>
  <c r="AX427" i="26"/>
  <c r="AY427" i="26"/>
  <c r="AZ427" i="26"/>
  <c r="BA427" i="26"/>
  <c r="BB427" i="26"/>
  <c r="BC427" i="26"/>
  <c r="BD427" i="26"/>
  <c r="BE427" i="26"/>
  <c r="BF427" i="26"/>
  <c r="BG427" i="26"/>
  <c r="H428" i="26"/>
  <c r="I428" i="26"/>
  <c r="J428" i="26"/>
  <c r="K428" i="26"/>
  <c r="L428" i="26"/>
  <c r="M428" i="26"/>
  <c r="N428" i="26"/>
  <c r="O428" i="26"/>
  <c r="P428" i="26"/>
  <c r="Q428" i="26"/>
  <c r="R428" i="26"/>
  <c r="S428" i="26"/>
  <c r="T428" i="26"/>
  <c r="U428" i="26"/>
  <c r="V428" i="26"/>
  <c r="W428" i="26"/>
  <c r="X428" i="26"/>
  <c r="Y428" i="26"/>
  <c r="Z428" i="26"/>
  <c r="AA428" i="26"/>
  <c r="AB428" i="26"/>
  <c r="AC428" i="26"/>
  <c r="AD428" i="26"/>
  <c r="AE428" i="26"/>
  <c r="AF428" i="26"/>
  <c r="AG428" i="26"/>
  <c r="AH428" i="26"/>
  <c r="AI428" i="26"/>
  <c r="AJ428" i="26"/>
  <c r="AK428" i="26"/>
  <c r="AL428" i="26"/>
  <c r="AM428" i="26"/>
  <c r="AN428" i="26"/>
  <c r="AO428" i="26"/>
  <c r="AP428" i="26"/>
  <c r="AQ428" i="26"/>
  <c r="AR428" i="26"/>
  <c r="AS428" i="26"/>
  <c r="AT428" i="26"/>
  <c r="AU428" i="26"/>
  <c r="AV428" i="26"/>
  <c r="AW428" i="26"/>
  <c r="AX428" i="26"/>
  <c r="AY428" i="26"/>
  <c r="AZ428" i="26"/>
  <c r="BA428" i="26"/>
  <c r="BB428" i="26"/>
  <c r="BC428" i="26"/>
  <c r="BD428" i="26"/>
  <c r="BE428" i="26"/>
  <c r="BF428" i="26"/>
  <c r="BG428" i="26"/>
  <c r="H429" i="26"/>
  <c r="I429" i="26"/>
  <c r="J429" i="26"/>
  <c r="K429" i="26"/>
  <c r="L429" i="26"/>
  <c r="M429" i="26"/>
  <c r="N429" i="26"/>
  <c r="O429" i="26"/>
  <c r="P429" i="26"/>
  <c r="Q429" i="26"/>
  <c r="R429" i="26"/>
  <c r="S429" i="26"/>
  <c r="T429" i="26"/>
  <c r="U429" i="26"/>
  <c r="V429" i="26"/>
  <c r="W429" i="26"/>
  <c r="X429" i="26"/>
  <c r="Y429" i="26"/>
  <c r="Z429" i="26"/>
  <c r="AA429" i="26"/>
  <c r="AB429" i="26"/>
  <c r="AC429" i="26"/>
  <c r="AD429" i="26"/>
  <c r="AE429" i="26"/>
  <c r="AF429" i="26"/>
  <c r="AG429" i="26"/>
  <c r="AH429" i="26"/>
  <c r="AI429" i="26"/>
  <c r="AJ429" i="26"/>
  <c r="AK429" i="26"/>
  <c r="AL429" i="26"/>
  <c r="AM429" i="26"/>
  <c r="AN429" i="26"/>
  <c r="AO429" i="26"/>
  <c r="AP429" i="26"/>
  <c r="AQ429" i="26"/>
  <c r="AR429" i="26"/>
  <c r="AS429" i="26"/>
  <c r="AT429" i="26"/>
  <c r="AU429" i="26"/>
  <c r="AV429" i="26"/>
  <c r="AW429" i="26"/>
  <c r="AX429" i="26"/>
  <c r="AY429" i="26"/>
  <c r="AZ429" i="26"/>
  <c r="BA429" i="26"/>
  <c r="BB429" i="26"/>
  <c r="BC429" i="26"/>
  <c r="BD429" i="26"/>
  <c r="BE429" i="26"/>
  <c r="BF429" i="26"/>
  <c r="BG429" i="26"/>
  <c r="H430" i="26"/>
  <c r="I430" i="26"/>
  <c r="J430" i="26"/>
  <c r="K430" i="26"/>
  <c r="L430" i="26"/>
  <c r="M430" i="26"/>
  <c r="N430" i="26"/>
  <c r="O430" i="26"/>
  <c r="P430" i="26"/>
  <c r="Q430" i="26"/>
  <c r="R430" i="26"/>
  <c r="S430" i="26"/>
  <c r="T430" i="26"/>
  <c r="U430" i="26"/>
  <c r="V430" i="26"/>
  <c r="W430" i="26"/>
  <c r="X430" i="26"/>
  <c r="Y430" i="26"/>
  <c r="Z430" i="26"/>
  <c r="AA430" i="26"/>
  <c r="AB430" i="26"/>
  <c r="AC430" i="26"/>
  <c r="AD430" i="26"/>
  <c r="AE430" i="26"/>
  <c r="AF430" i="26"/>
  <c r="AG430" i="26"/>
  <c r="AH430" i="26"/>
  <c r="AI430" i="26"/>
  <c r="AJ430" i="26"/>
  <c r="AK430" i="26"/>
  <c r="AL430" i="26"/>
  <c r="AM430" i="26"/>
  <c r="AN430" i="26"/>
  <c r="AO430" i="26"/>
  <c r="AP430" i="26"/>
  <c r="AQ430" i="26"/>
  <c r="AR430" i="26"/>
  <c r="AS430" i="26"/>
  <c r="AT430" i="26"/>
  <c r="AU430" i="26"/>
  <c r="AV430" i="26"/>
  <c r="AW430" i="26"/>
  <c r="AX430" i="26"/>
  <c r="AY430" i="26"/>
  <c r="AZ430" i="26"/>
  <c r="BA430" i="26"/>
  <c r="BB430" i="26"/>
  <c r="BC430" i="26"/>
  <c r="BD430" i="26"/>
  <c r="BE430" i="26"/>
  <c r="BF430" i="26"/>
  <c r="BG430" i="26"/>
  <c r="H431" i="26"/>
  <c r="I431" i="26"/>
  <c r="J431" i="26"/>
  <c r="K431" i="26"/>
  <c r="L431" i="26"/>
  <c r="M431" i="26"/>
  <c r="N431" i="26"/>
  <c r="O431" i="26"/>
  <c r="P431" i="26"/>
  <c r="Q431" i="26"/>
  <c r="R431" i="26"/>
  <c r="S431" i="26"/>
  <c r="T431" i="26"/>
  <c r="U431" i="26"/>
  <c r="V431" i="26"/>
  <c r="W431" i="26"/>
  <c r="X431" i="26"/>
  <c r="Y431" i="26"/>
  <c r="Z431" i="26"/>
  <c r="AA431" i="26"/>
  <c r="AB431" i="26"/>
  <c r="AC431" i="26"/>
  <c r="AD431" i="26"/>
  <c r="AE431" i="26"/>
  <c r="AF431" i="26"/>
  <c r="AG431" i="26"/>
  <c r="AH431" i="26"/>
  <c r="AI431" i="26"/>
  <c r="AJ431" i="26"/>
  <c r="AK431" i="26"/>
  <c r="AL431" i="26"/>
  <c r="AM431" i="26"/>
  <c r="AN431" i="26"/>
  <c r="AO431" i="26"/>
  <c r="AP431" i="26"/>
  <c r="AQ431" i="26"/>
  <c r="AR431" i="26"/>
  <c r="AS431" i="26"/>
  <c r="AT431" i="26"/>
  <c r="AU431" i="26"/>
  <c r="AV431" i="26"/>
  <c r="AW431" i="26"/>
  <c r="AX431" i="26"/>
  <c r="AY431" i="26"/>
  <c r="AZ431" i="26"/>
  <c r="BA431" i="26"/>
  <c r="BB431" i="26"/>
  <c r="BC431" i="26"/>
  <c r="BD431" i="26"/>
  <c r="BE431" i="26"/>
  <c r="BF431" i="26"/>
  <c r="BG431" i="26"/>
  <c r="H432" i="26"/>
  <c r="I432" i="26"/>
  <c r="J432" i="26"/>
  <c r="K432" i="26"/>
  <c r="L432" i="26"/>
  <c r="M432" i="26"/>
  <c r="N432" i="26"/>
  <c r="O432" i="26"/>
  <c r="P432" i="26"/>
  <c r="Q432" i="26"/>
  <c r="R432" i="26"/>
  <c r="S432" i="26"/>
  <c r="T432" i="26"/>
  <c r="U432" i="26"/>
  <c r="V432" i="26"/>
  <c r="W432" i="26"/>
  <c r="X432" i="26"/>
  <c r="Y432" i="26"/>
  <c r="Z432" i="26"/>
  <c r="AA432" i="26"/>
  <c r="AB432" i="26"/>
  <c r="AC432" i="26"/>
  <c r="AD432" i="26"/>
  <c r="AE432" i="26"/>
  <c r="AF432" i="26"/>
  <c r="AG432" i="26"/>
  <c r="AH432" i="26"/>
  <c r="AI432" i="26"/>
  <c r="AJ432" i="26"/>
  <c r="AK432" i="26"/>
  <c r="AL432" i="26"/>
  <c r="AM432" i="26"/>
  <c r="AN432" i="26"/>
  <c r="AO432" i="26"/>
  <c r="AP432" i="26"/>
  <c r="AQ432" i="26"/>
  <c r="AR432" i="26"/>
  <c r="AS432" i="26"/>
  <c r="AT432" i="26"/>
  <c r="AU432" i="26"/>
  <c r="AV432" i="26"/>
  <c r="AW432" i="26"/>
  <c r="AX432" i="26"/>
  <c r="AY432" i="26"/>
  <c r="AZ432" i="26"/>
  <c r="BA432" i="26"/>
  <c r="BB432" i="26"/>
  <c r="BC432" i="26"/>
  <c r="BD432" i="26"/>
  <c r="BE432" i="26"/>
  <c r="BF432" i="26"/>
  <c r="BG432" i="26"/>
  <c r="H433" i="26"/>
  <c r="I433" i="26"/>
  <c r="J433" i="26"/>
  <c r="K433" i="26"/>
  <c r="L433" i="26"/>
  <c r="M433" i="26"/>
  <c r="N433" i="26"/>
  <c r="O433" i="26"/>
  <c r="P433" i="26"/>
  <c r="Q433" i="26"/>
  <c r="R433" i="26"/>
  <c r="S433" i="26"/>
  <c r="T433" i="26"/>
  <c r="U433" i="26"/>
  <c r="V433" i="26"/>
  <c r="W433" i="26"/>
  <c r="X433" i="26"/>
  <c r="Y433" i="26"/>
  <c r="Z433" i="26"/>
  <c r="AA433" i="26"/>
  <c r="AB433" i="26"/>
  <c r="AC433" i="26"/>
  <c r="AD433" i="26"/>
  <c r="AE433" i="26"/>
  <c r="AF433" i="26"/>
  <c r="AG433" i="26"/>
  <c r="AH433" i="26"/>
  <c r="AI433" i="26"/>
  <c r="AJ433" i="26"/>
  <c r="AK433" i="26"/>
  <c r="AL433" i="26"/>
  <c r="AM433" i="26"/>
  <c r="AN433" i="26"/>
  <c r="AO433" i="26"/>
  <c r="AP433" i="26"/>
  <c r="AQ433" i="26"/>
  <c r="AR433" i="26"/>
  <c r="AS433" i="26"/>
  <c r="AT433" i="26"/>
  <c r="AU433" i="26"/>
  <c r="AV433" i="26"/>
  <c r="AW433" i="26"/>
  <c r="AX433" i="26"/>
  <c r="AY433" i="26"/>
  <c r="AZ433" i="26"/>
  <c r="BA433" i="26"/>
  <c r="BB433" i="26"/>
  <c r="BC433" i="26"/>
  <c r="BD433" i="26"/>
  <c r="BE433" i="26"/>
  <c r="BF433" i="26"/>
  <c r="BG433" i="26"/>
  <c r="H434" i="26"/>
  <c r="I434" i="26"/>
  <c r="J434" i="26"/>
  <c r="K434" i="26"/>
  <c r="L434" i="26"/>
  <c r="M434" i="26"/>
  <c r="N434" i="26"/>
  <c r="O434" i="26"/>
  <c r="P434" i="26"/>
  <c r="Q434" i="26"/>
  <c r="R434" i="26"/>
  <c r="S434" i="26"/>
  <c r="T434" i="26"/>
  <c r="U434" i="26"/>
  <c r="V434" i="26"/>
  <c r="W434" i="26"/>
  <c r="X434" i="26"/>
  <c r="Y434" i="26"/>
  <c r="Z434" i="26"/>
  <c r="AA434" i="26"/>
  <c r="AB434" i="26"/>
  <c r="AC434" i="26"/>
  <c r="AD434" i="26"/>
  <c r="AE434" i="26"/>
  <c r="AF434" i="26"/>
  <c r="AG434" i="26"/>
  <c r="AH434" i="26"/>
  <c r="AI434" i="26"/>
  <c r="AJ434" i="26"/>
  <c r="AK434" i="26"/>
  <c r="AL434" i="26"/>
  <c r="AM434" i="26"/>
  <c r="AN434" i="26"/>
  <c r="AO434" i="26"/>
  <c r="AP434" i="26"/>
  <c r="AQ434" i="26"/>
  <c r="AR434" i="26"/>
  <c r="AS434" i="26"/>
  <c r="AT434" i="26"/>
  <c r="AU434" i="26"/>
  <c r="AV434" i="26"/>
  <c r="AW434" i="26"/>
  <c r="AX434" i="26"/>
  <c r="AY434" i="26"/>
  <c r="AZ434" i="26"/>
  <c r="BA434" i="26"/>
  <c r="BB434" i="26"/>
  <c r="BC434" i="26"/>
  <c r="BD434" i="26"/>
  <c r="BE434" i="26"/>
  <c r="BF434" i="26"/>
  <c r="BG434" i="26"/>
  <c r="H435" i="26"/>
  <c r="I435" i="26"/>
  <c r="J435" i="26"/>
  <c r="K435" i="26"/>
  <c r="L435" i="26"/>
  <c r="M435" i="26"/>
  <c r="N435" i="26"/>
  <c r="O435" i="26"/>
  <c r="P435" i="26"/>
  <c r="Q435" i="26"/>
  <c r="R435" i="26"/>
  <c r="S435" i="26"/>
  <c r="T435" i="26"/>
  <c r="U435" i="26"/>
  <c r="V435" i="26"/>
  <c r="W435" i="26"/>
  <c r="X435" i="26"/>
  <c r="Y435" i="26"/>
  <c r="Z435" i="26"/>
  <c r="AA435" i="26"/>
  <c r="AB435" i="26"/>
  <c r="AC435" i="26"/>
  <c r="AD435" i="26"/>
  <c r="AE435" i="26"/>
  <c r="AF435" i="26"/>
  <c r="AG435" i="26"/>
  <c r="AH435" i="26"/>
  <c r="AI435" i="26"/>
  <c r="AJ435" i="26"/>
  <c r="AK435" i="26"/>
  <c r="AL435" i="26"/>
  <c r="AM435" i="26"/>
  <c r="AN435" i="26"/>
  <c r="AO435" i="26"/>
  <c r="AP435" i="26"/>
  <c r="AQ435" i="26"/>
  <c r="AR435" i="26"/>
  <c r="AS435" i="26"/>
  <c r="AT435" i="26"/>
  <c r="AU435" i="26"/>
  <c r="AV435" i="26"/>
  <c r="AW435" i="26"/>
  <c r="AX435" i="26"/>
  <c r="AY435" i="26"/>
  <c r="AZ435" i="26"/>
  <c r="BA435" i="26"/>
  <c r="BB435" i="26"/>
  <c r="BC435" i="26"/>
  <c r="BD435" i="26"/>
  <c r="BE435" i="26"/>
  <c r="BF435" i="26"/>
  <c r="BG435" i="26"/>
  <c r="H436" i="26"/>
  <c r="I436" i="26"/>
  <c r="J436" i="26"/>
  <c r="K436" i="26"/>
  <c r="L436" i="26"/>
  <c r="M436" i="26"/>
  <c r="N436" i="26"/>
  <c r="O436" i="26"/>
  <c r="P436" i="26"/>
  <c r="Q436" i="26"/>
  <c r="R436" i="26"/>
  <c r="S436" i="26"/>
  <c r="T436" i="26"/>
  <c r="U436" i="26"/>
  <c r="V436" i="26"/>
  <c r="W436" i="26"/>
  <c r="X436" i="26"/>
  <c r="Y436" i="26"/>
  <c r="Z436" i="26"/>
  <c r="AA436" i="26"/>
  <c r="AB436" i="26"/>
  <c r="AC436" i="26"/>
  <c r="AD436" i="26"/>
  <c r="AE436" i="26"/>
  <c r="AF436" i="26"/>
  <c r="AG436" i="26"/>
  <c r="AH436" i="26"/>
  <c r="AI436" i="26"/>
  <c r="AJ436" i="26"/>
  <c r="AK436" i="26"/>
  <c r="AL436" i="26"/>
  <c r="AM436" i="26"/>
  <c r="AN436" i="26"/>
  <c r="AO436" i="26"/>
  <c r="AP436" i="26"/>
  <c r="AQ436" i="26"/>
  <c r="AR436" i="26"/>
  <c r="AS436" i="26"/>
  <c r="AT436" i="26"/>
  <c r="AU436" i="26"/>
  <c r="AV436" i="26"/>
  <c r="AW436" i="26"/>
  <c r="AX436" i="26"/>
  <c r="AY436" i="26"/>
  <c r="AZ436" i="26"/>
  <c r="BA436" i="26"/>
  <c r="BB436" i="26"/>
  <c r="BC436" i="26"/>
  <c r="BD436" i="26"/>
  <c r="BE436" i="26"/>
  <c r="BF436" i="26"/>
  <c r="BG436" i="26"/>
  <c r="H437" i="26"/>
  <c r="I437" i="26"/>
  <c r="J437" i="26"/>
  <c r="K437" i="26"/>
  <c r="L437" i="26"/>
  <c r="M437" i="26"/>
  <c r="N437" i="26"/>
  <c r="O437" i="26"/>
  <c r="P437" i="26"/>
  <c r="Q437" i="26"/>
  <c r="R437" i="26"/>
  <c r="S437" i="26"/>
  <c r="T437" i="26"/>
  <c r="U437" i="26"/>
  <c r="V437" i="26"/>
  <c r="W437" i="26"/>
  <c r="X437" i="26"/>
  <c r="Y437" i="26"/>
  <c r="Z437" i="26"/>
  <c r="AA437" i="26"/>
  <c r="AB437" i="26"/>
  <c r="AC437" i="26"/>
  <c r="AD437" i="26"/>
  <c r="AE437" i="26"/>
  <c r="AF437" i="26"/>
  <c r="AG437" i="26"/>
  <c r="AH437" i="26"/>
  <c r="AI437" i="26"/>
  <c r="AJ437" i="26"/>
  <c r="AK437" i="26"/>
  <c r="AL437" i="26"/>
  <c r="AM437" i="26"/>
  <c r="AN437" i="26"/>
  <c r="AO437" i="26"/>
  <c r="AP437" i="26"/>
  <c r="AQ437" i="26"/>
  <c r="AR437" i="26"/>
  <c r="AS437" i="26"/>
  <c r="AT437" i="26"/>
  <c r="AU437" i="26"/>
  <c r="AV437" i="26"/>
  <c r="AW437" i="26"/>
  <c r="AX437" i="26"/>
  <c r="AY437" i="26"/>
  <c r="AZ437" i="26"/>
  <c r="BA437" i="26"/>
  <c r="BB437" i="26"/>
  <c r="BC437" i="26"/>
  <c r="BD437" i="26"/>
  <c r="BE437" i="26"/>
  <c r="BF437" i="26"/>
  <c r="BG437" i="26"/>
  <c r="H438" i="26"/>
  <c r="I438" i="26"/>
  <c r="J438" i="26"/>
  <c r="K438" i="26"/>
  <c r="L438" i="26"/>
  <c r="M438" i="26"/>
  <c r="N438" i="26"/>
  <c r="O438" i="26"/>
  <c r="P438" i="26"/>
  <c r="Q438" i="26"/>
  <c r="R438" i="26"/>
  <c r="S438" i="26"/>
  <c r="T438" i="26"/>
  <c r="U438" i="26"/>
  <c r="V438" i="26"/>
  <c r="W438" i="26"/>
  <c r="X438" i="26"/>
  <c r="Y438" i="26"/>
  <c r="Z438" i="26"/>
  <c r="AA438" i="26"/>
  <c r="AB438" i="26"/>
  <c r="AC438" i="26"/>
  <c r="AD438" i="26"/>
  <c r="AE438" i="26"/>
  <c r="AF438" i="26"/>
  <c r="AG438" i="26"/>
  <c r="AH438" i="26"/>
  <c r="AI438" i="26"/>
  <c r="AJ438" i="26"/>
  <c r="AK438" i="26"/>
  <c r="AL438" i="26"/>
  <c r="AM438" i="26"/>
  <c r="AN438" i="26"/>
  <c r="AO438" i="26"/>
  <c r="AP438" i="26"/>
  <c r="AQ438" i="26"/>
  <c r="AR438" i="26"/>
  <c r="AS438" i="26"/>
  <c r="AT438" i="26"/>
  <c r="AU438" i="26"/>
  <c r="AV438" i="26"/>
  <c r="AW438" i="26"/>
  <c r="AX438" i="26"/>
  <c r="AY438" i="26"/>
  <c r="AZ438" i="26"/>
  <c r="BA438" i="26"/>
  <c r="BB438" i="26"/>
  <c r="BC438" i="26"/>
  <c r="BD438" i="26"/>
  <c r="BE438" i="26"/>
  <c r="BF438" i="26"/>
  <c r="BG438" i="26"/>
  <c r="H439" i="26"/>
  <c r="I439" i="26"/>
  <c r="J439" i="26"/>
  <c r="K439" i="26"/>
  <c r="L439" i="26"/>
  <c r="M439" i="26"/>
  <c r="N439" i="26"/>
  <c r="O439" i="26"/>
  <c r="P439" i="26"/>
  <c r="Q439" i="26"/>
  <c r="R439" i="26"/>
  <c r="S439" i="26"/>
  <c r="T439" i="26"/>
  <c r="U439" i="26"/>
  <c r="V439" i="26"/>
  <c r="W439" i="26"/>
  <c r="X439" i="26"/>
  <c r="Y439" i="26"/>
  <c r="Z439" i="26"/>
  <c r="AA439" i="26"/>
  <c r="AB439" i="26"/>
  <c r="AC439" i="26"/>
  <c r="AD439" i="26"/>
  <c r="AE439" i="26"/>
  <c r="AF439" i="26"/>
  <c r="AG439" i="26"/>
  <c r="AH439" i="26"/>
  <c r="AI439" i="26"/>
  <c r="AJ439" i="26"/>
  <c r="AK439" i="26"/>
  <c r="AL439" i="26"/>
  <c r="AM439" i="26"/>
  <c r="AN439" i="26"/>
  <c r="AO439" i="26"/>
  <c r="AP439" i="26"/>
  <c r="AQ439" i="26"/>
  <c r="AR439" i="26"/>
  <c r="AS439" i="26"/>
  <c r="AT439" i="26"/>
  <c r="AU439" i="26"/>
  <c r="AV439" i="26"/>
  <c r="AW439" i="26"/>
  <c r="AX439" i="26"/>
  <c r="AY439" i="26"/>
  <c r="AZ439" i="26"/>
  <c r="BA439" i="26"/>
  <c r="BB439" i="26"/>
  <c r="BC439" i="26"/>
  <c r="BD439" i="26"/>
  <c r="BE439" i="26"/>
  <c r="BF439" i="26"/>
  <c r="BG439" i="26"/>
  <c r="H440" i="26"/>
  <c r="I440" i="26"/>
  <c r="J440" i="26"/>
  <c r="K440" i="26"/>
  <c r="L440" i="26"/>
  <c r="M440" i="26"/>
  <c r="N440" i="26"/>
  <c r="O440" i="26"/>
  <c r="P440" i="26"/>
  <c r="Q440" i="26"/>
  <c r="R440" i="26"/>
  <c r="S440" i="26"/>
  <c r="T440" i="26"/>
  <c r="U440" i="26"/>
  <c r="V440" i="26"/>
  <c r="W440" i="26"/>
  <c r="X440" i="26"/>
  <c r="Y440" i="26"/>
  <c r="Z440" i="26"/>
  <c r="AA440" i="26"/>
  <c r="AB440" i="26"/>
  <c r="AC440" i="26"/>
  <c r="AD440" i="26"/>
  <c r="AE440" i="26"/>
  <c r="AF440" i="26"/>
  <c r="AG440" i="26"/>
  <c r="AH440" i="26"/>
  <c r="AI440" i="26"/>
  <c r="AJ440" i="26"/>
  <c r="AK440" i="26"/>
  <c r="AL440" i="26"/>
  <c r="AM440" i="26"/>
  <c r="AN440" i="26"/>
  <c r="AO440" i="26"/>
  <c r="AP440" i="26"/>
  <c r="AQ440" i="26"/>
  <c r="AR440" i="26"/>
  <c r="AS440" i="26"/>
  <c r="AT440" i="26"/>
  <c r="AU440" i="26"/>
  <c r="AV440" i="26"/>
  <c r="AW440" i="26"/>
  <c r="AX440" i="26"/>
  <c r="AY440" i="26"/>
  <c r="AZ440" i="26"/>
  <c r="BA440" i="26"/>
  <c r="BB440" i="26"/>
  <c r="BC440" i="26"/>
  <c r="BD440" i="26"/>
  <c r="BE440" i="26"/>
  <c r="BF440" i="26"/>
  <c r="BG440" i="26"/>
  <c r="H441" i="26"/>
  <c r="I441" i="26"/>
  <c r="J441" i="26"/>
  <c r="K441" i="26"/>
  <c r="L441" i="26"/>
  <c r="M441" i="26"/>
  <c r="N441" i="26"/>
  <c r="O441" i="26"/>
  <c r="P441" i="26"/>
  <c r="Q441" i="26"/>
  <c r="R441" i="26"/>
  <c r="S441" i="26"/>
  <c r="T441" i="26"/>
  <c r="U441" i="26"/>
  <c r="V441" i="26"/>
  <c r="W441" i="26"/>
  <c r="X441" i="26"/>
  <c r="Y441" i="26"/>
  <c r="Z441" i="26"/>
  <c r="AA441" i="26"/>
  <c r="AB441" i="26"/>
  <c r="AC441" i="26"/>
  <c r="AD441" i="26"/>
  <c r="AE441" i="26"/>
  <c r="AF441" i="26"/>
  <c r="AG441" i="26"/>
  <c r="AH441" i="26"/>
  <c r="AI441" i="26"/>
  <c r="AJ441" i="26"/>
  <c r="AK441" i="26"/>
  <c r="AL441" i="26"/>
  <c r="AM441" i="26"/>
  <c r="AN441" i="26"/>
  <c r="AO441" i="26"/>
  <c r="AP441" i="26"/>
  <c r="AQ441" i="26"/>
  <c r="AR441" i="26"/>
  <c r="AS441" i="26"/>
  <c r="AT441" i="26"/>
  <c r="AU441" i="26"/>
  <c r="AV441" i="26"/>
  <c r="AW441" i="26"/>
  <c r="AX441" i="26"/>
  <c r="AY441" i="26"/>
  <c r="AZ441" i="26"/>
  <c r="BA441" i="26"/>
  <c r="BB441" i="26"/>
  <c r="BC441" i="26"/>
  <c r="BD441" i="26"/>
  <c r="BE441" i="26"/>
  <c r="BF441" i="26"/>
  <c r="BG441" i="26"/>
  <c r="H442" i="26"/>
  <c r="I442" i="26"/>
  <c r="J442" i="26"/>
  <c r="K442" i="26"/>
  <c r="L442" i="26"/>
  <c r="M442" i="26"/>
  <c r="N442" i="26"/>
  <c r="O442" i="26"/>
  <c r="P442" i="26"/>
  <c r="Q442" i="26"/>
  <c r="R442" i="26"/>
  <c r="S442" i="26"/>
  <c r="T442" i="26"/>
  <c r="U442" i="26"/>
  <c r="V442" i="26"/>
  <c r="W442" i="26"/>
  <c r="X442" i="26"/>
  <c r="Y442" i="26"/>
  <c r="Z442" i="26"/>
  <c r="AA442" i="26"/>
  <c r="AB442" i="26"/>
  <c r="AC442" i="26"/>
  <c r="AD442" i="26"/>
  <c r="AE442" i="26"/>
  <c r="AF442" i="26"/>
  <c r="AG442" i="26"/>
  <c r="AH442" i="26"/>
  <c r="AI442" i="26"/>
  <c r="AJ442" i="26"/>
  <c r="AK442" i="26"/>
  <c r="AL442" i="26"/>
  <c r="AM442" i="26"/>
  <c r="AN442" i="26"/>
  <c r="AO442" i="26"/>
  <c r="AP442" i="26"/>
  <c r="AQ442" i="26"/>
  <c r="AR442" i="26"/>
  <c r="AS442" i="26"/>
  <c r="AT442" i="26"/>
  <c r="AU442" i="26"/>
  <c r="AV442" i="26"/>
  <c r="AW442" i="26"/>
  <c r="AX442" i="26"/>
  <c r="AY442" i="26"/>
  <c r="AZ442" i="26"/>
  <c r="BA442" i="26"/>
  <c r="BB442" i="26"/>
  <c r="BC442" i="26"/>
  <c r="BD442" i="26"/>
  <c r="BE442" i="26"/>
  <c r="BF442" i="26"/>
  <c r="BG442" i="26"/>
  <c r="H443" i="26"/>
  <c r="I443" i="26"/>
  <c r="J443" i="26"/>
  <c r="K443" i="26"/>
  <c r="L443" i="26"/>
  <c r="M443" i="26"/>
  <c r="N443" i="26"/>
  <c r="O443" i="26"/>
  <c r="P443" i="26"/>
  <c r="Q443" i="26"/>
  <c r="R443" i="26"/>
  <c r="S443" i="26"/>
  <c r="T443" i="26"/>
  <c r="U443" i="26"/>
  <c r="V443" i="26"/>
  <c r="W443" i="26"/>
  <c r="X443" i="26"/>
  <c r="Y443" i="26"/>
  <c r="Z443" i="26"/>
  <c r="AA443" i="26"/>
  <c r="AB443" i="26"/>
  <c r="AC443" i="26"/>
  <c r="AD443" i="26"/>
  <c r="AE443" i="26"/>
  <c r="AF443" i="26"/>
  <c r="AG443" i="26"/>
  <c r="AH443" i="26"/>
  <c r="AI443" i="26"/>
  <c r="AJ443" i="26"/>
  <c r="AK443" i="26"/>
  <c r="AL443" i="26"/>
  <c r="AM443" i="26"/>
  <c r="AN443" i="26"/>
  <c r="AO443" i="26"/>
  <c r="AP443" i="26"/>
  <c r="AQ443" i="26"/>
  <c r="AR443" i="26"/>
  <c r="AS443" i="26"/>
  <c r="AT443" i="26"/>
  <c r="AU443" i="26"/>
  <c r="AV443" i="26"/>
  <c r="AW443" i="26"/>
  <c r="AX443" i="26"/>
  <c r="AY443" i="26"/>
  <c r="AZ443" i="26"/>
  <c r="BA443" i="26"/>
  <c r="BB443" i="26"/>
  <c r="BC443" i="26"/>
  <c r="BD443" i="26"/>
  <c r="BE443" i="26"/>
  <c r="BF443" i="26"/>
  <c r="BG443" i="26"/>
  <c r="H444" i="26"/>
  <c r="I444" i="26"/>
  <c r="J444" i="26"/>
  <c r="K444" i="26"/>
  <c r="L444" i="26"/>
  <c r="M444" i="26"/>
  <c r="N444" i="26"/>
  <c r="O444" i="26"/>
  <c r="P444" i="26"/>
  <c r="Q444" i="26"/>
  <c r="R444" i="26"/>
  <c r="S444" i="26"/>
  <c r="T444" i="26"/>
  <c r="U444" i="26"/>
  <c r="V444" i="26"/>
  <c r="W444" i="26"/>
  <c r="X444" i="26"/>
  <c r="Y444" i="26"/>
  <c r="Z444" i="26"/>
  <c r="AA444" i="26"/>
  <c r="AB444" i="26"/>
  <c r="AC444" i="26"/>
  <c r="AD444" i="26"/>
  <c r="AE444" i="26"/>
  <c r="AF444" i="26"/>
  <c r="AG444" i="26"/>
  <c r="AH444" i="26"/>
  <c r="AI444" i="26"/>
  <c r="AJ444" i="26"/>
  <c r="AK444" i="26"/>
  <c r="AL444" i="26"/>
  <c r="AM444" i="26"/>
  <c r="AN444" i="26"/>
  <c r="AO444" i="26"/>
  <c r="AP444" i="26"/>
  <c r="AQ444" i="26"/>
  <c r="AR444" i="26"/>
  <c r="AS444" i="26"/>
  <c r="AT444" i="26"/>
  <c r="AU444" i="26"/>
  <c r="AV444" i="26"/>
  <c r="AW444" i="26"/>
  <c r="AX444" i="26"/>
  <c r="AY444" i="26"/>
  <c r="AZ444" i="26"/>
  <c r="BA444" i="26"/>
  <c r="BB444" i="26"/>
  <c r="BC444" i="26"/>
  <c r="BD444" i="26"/>
  <c r="BE444" i="26"/>
  <c r="BF444" i="26"/>
  <c r="BG444" i="26"/>
  <c r="H445" i="26"/>
  <c r="I445" i="26"/>
  <c r="J445" i="26"/>
  <c r="K445" i="26"/>
  <c r="L445" i="26"/>
  <c r="M445" i="26"/>
  <c r="N445" i="26"/>
  <c r="O445" i="26"/>
  <c r="P445" i="26"/>
  <c r="Q445" i="26"/>
  <c r="R445" i="26"/>
  <c r="S445" i="26"/>
  <c r="T445" i="26"/>
  <c r="U445" i="26"/>
  <c r="V445" i="26"/>
  <c r="W445" i="26"/>
  <c r="X445" i="26"/>
  <c r="Y445" i="26"/>
  <c r="Z445" i="26"/>
  <c r="AA445" i="26"/>
  <c r="AB445" i="26"/>
  <c r="AC445" i="26"/>
  <c r="AD445" i="26"/>
  <c r="AE445" i="26"/>
  <c r="AF445" i="26"/>
  <c r="AG445" i="26"/>
  <c r="AH445" i="26"/>
  <c r="AI445" i="26"/>
  <c r="AJ445" i="26"/>
  <c r="AK445" i="26"/>
  <c r="AL445" i="26"/>
  <c r="AM445" i="26"/>
  <c r="AN445" i="26"/>
  <c r="AO445" i="26"/>
  <c r="AP445" i="26"/>
  <c r="AQ445" i="26"/>
  <c r="AR445" i="26"/>
  <c r="AS445" i="26"/>
  <c r="AT445" i="26"/>
  <c r="AU445" i="26"/>
  <c r="AV445" i="26"/>
  <c r="AW445" i="26"/>
  <c r="AX445" i="26"/>
  <c r="AY445" i="26"/>
  <c r="AZ445" i="26"/>
  <c r="BA445" i="26"/>
  <c r="BB445" i="26"/>
  <c r="BC445" i="26"/>
  <c r="BD445" i="26"/>
  <c r="BE445" i="26"/>
  <c r="BF445" i="26"/>
  <c r="BG445" i="26"/>
  <c r="H446" i="26"/>
  <c r="I446" i="26"/>
  <c r="J446" i="26"/>
  <c r="K446" i="26"/>
  <c r="L446" i="26"/>
  <c r="M446" i="26"/>
  <c r="N446" i="26"/>
  <c r="O446" i="26"/>
  <c r="P446" i="26"/>
  <c r="Q446" i="26"/>
  <c r="R446" i="26"/>
  <c r="S446" i="26"/>
  <c r="T446" i="26"/>
  <c r="U446" i="26"/>
  <c r="V446" i="26"/>
  <c r="W446" i="26"/>
  <c r="X446" i="26"/>
  <c r="Y446" i="26"/>
  <c r="Z446" i="26"/>
  <c r="AA446" i="26"/>
  <c r="AB446" i="26"/>
  <c r="AC446" i="26"/>
  <c r="AD446" i="26"/>
  <c r="AE446" i="26"/>
  <c r="AF446" i="26"/>
  <c r="AG446" i="26"/>
  <c r="AH446" i="26"/>
  <c r="AI446" i="26"/>
  <c r="AJ446" i="26"/>
  <c r="AK446" i="26"/>
  <c r="AL446" i="26"/>
  <c r="AM446" i="26"/>
  <c r="AN446" i="26"/>
  <c r="AO446" i="26"/>
  <c r="AP446" i="26"/>
  <c r="AQ446" i="26"/>
  <c r="AR446" i="26"/>
  <c r="AS446" i="26"/>
  <c r="AT446" i="26"/>
  <c r="AU446" i="26"/>
  <c r="AV446" i="26"/>
  <c r="AW446" i="26"/>
  <c r="AX446" i="26"/>
  <c r="AY446" i="26"/>
  <c r="AZ446" i="26"/>
  <c r="BA446" i="26"/>
  <c r="BB446" i="26"/>
  <c r="BC446" i="26"/>
  <c r="BD446" i="26"/>
  <c r="BE446" i="26"/>
  <c r="BF446" i="26"/>
  <c r="BG446" i="26"/>
  <c r="H447" i="26"/>
  <c r="I447" i="26"/>
  <c r="J447" i="26"/>
  <c r="K447" i="26"/>
  <c r="L447" i="26"/>
  <c r="M447" i="26"/>
  <c r="N447" i="26"/>
  <c r="O447" i="26"/>
  <c r="P447" i="26"/>
  <c r="Q447" i="26"/>
  <c r="R447" i="26"/>
  <c r="S447" i="26"/>
  <c r="T447" i="26"/>
  <c r="U447" i="26"/>
  <c r="V447" i="26"/>
  <c r="W447" i="26"/>
  <c r="X447" i="26"/>
  <c r="Y447" i="26"/>
  <c r="Z447" i="26"/>
  <c r="AA447" i="26"/>
  <c r="AB447" i="26"/>
  <c r="AC447" i="26"/>
  <c r="AD447" i="26"/>
  <c r="AE447" i="26"/>
  <c r="AF447" i="26"/>
  <c r="AG447" i="26"/>
  <c r="AH447" i="26"/>
  <c r="AI447" i="26"/>
  <c r="AJ447" i="26"/>
  <c r="AK447" i="26"/>
  <c r="AL447" i="26"/>
  <c r="AM447" i="26"/>
  <c r="AN447" i="26"/>
  <c r="AO447" i="26"/>
  <c r="AP447" i="26"/>
  <c r="AQ447" i="26"/>
  <c r="AR447" i="26"/>
  <c r="AS447" i="26"/>
  <c r="AT447" i="26"/>
  <c r="AU447" i="26"/>
  <c r="AV447" i="26"/>
  <c r="AW447" i="26"/>
  <c r="AX447" i="26"/>
  <c r="AY447" i="26"/>
  <c r="AZ447" i="26"/>
  <c r="BA447" i="26"/>
  <c r="BB447" i="26"/>
  <c r="BC447" i="26"/>
  <c r="BD447" i="26"/>
  <c r="BE447" i="26"/>
  <c r="BF447" i="26"/>
  <c r="BG447" i="26"/>
  <c r="H448" i="26"/>
  <c r="I448" i="26"/>
  <c r="J448" i="26"/>
  <c r="K448" i="26"/>
  <c r="L448" i="26"/>
  <c r="M448" i="26"/>
  <c r="N448" i="26"/>
  <c r="O448" i="26"/>
  <c r="P448" i="26"/>
  <c r="Q448" i="26"/>
  <c r="R448" i="26"/>
  <c r="S448" i="26"/>
  <c r="T448" i="26"/>
  <c r="U448" i="26"/>
  <c r="V448" i="26"/>
  <c r="W448" i="26"/>
  <c r="X448" i="26"/>
  <c r="Y448" i="26"/>
  <c r="Z448" i="26"/>
  <c r="AA448" i="26"/>
  <c r="AB448" i="26"/>
  <c r="AC448" i="26"/>
  <c r="AD448" i="26"/>
  <c r="AE448" i="26"/>
  <c r="AF448" i="26"/>
  <c r="AG448" i="26"/>
  <c r="AH448" i="26"/>
  <c r="AI448" i="26"/>
  <c r="AJ448" i="26"/>
  <c r="AK448" i="26"/>
  <c r="AL448" i="26"/>
  <c r="AM448" i="26"/>
  <c r="AN448" i="26"/>
  <c r="AO448" i="26"/>
  <c r="AP448" i="26"/>
  <c r="AQ448" i="26"/>
  <c r="AR448" i="26"/>
  <c r="AS448" i="26"/>
  <c r="AT448" i="26"/>
  <c r="AU448" i="26"/>
  <c r="AV448" i="26"/>
  <c r="AW448" i="26"/>
  <c r="AX448" i="26"/>
  <c r="AY448" i="26"/>
  <c r="AZ448" i="26"/>
  <c r="BA448" i="26"/>
  <c r="BB448" i="26"/>
  <c r="BC448" i="26"/>
  <c r="BD448" i="26"/>
  <c r="BE448" i="26"/>
  <c r="BF448" i="26"/>
  <c r="BG448" i="26"/>
  <c r="H449" i="26"/>
  <c r="I449" i="26"/>
  <c r="J449" i="26"/>
  <c r="K449" i="26"/>
  <c r="L449" i="26"/>
  <c r="M449" i="26"/>
  <c r="N449" i="26"/>
  <c r="O449" i="26"/>
  <c r="P449" i="26"/>
  <c r="Q449" i="26"/>
  <c r="R449" i="26"/>
  <c r="S449" i="26"/>
  <c r="T449" i="26"/>
  <c r="U449" i="26"/>
  <c r="V449" i="26"/>
  <c r="W449" i="26"/>
  <c r="X449" i="26"/>
  <c r="Y449" i="26"/>
  <c r="Z449" i="26"/>
  <c r="AA449" i="26"/>
  <c r="AB449" i="26"/>
  <c r="AC449" i="26"/>
  <c r="AD449" i="26"/>
  <c r="AE449" i="26"/>
  <c r="AF449" i="26"/>
  <c r="AG449" i="26"/>
  <c r="AH449" i="26"/>
  <c r="AI449" i="26"/>
  <c r="AJ449" i="26"/>
  <c r="AK449" i="26"/>
  <c r="AL449" i="26"/>
  <c r="AM449" i="26"/>
  <c r="AN449" i="26"/>
  <c r="AO449" i="26"/>
  <c r="AP449" i="26"/>
  <c r="AQ449" i="26"/>
  <c r="AR449" i="26"/>
  <c r="AS449" i="26"/>
  <c r="AT449" i="26"/>
  <c r="AU449" i="26"/>
  <c r="AV449" i="26"/>
  <c r="AW449" i="26"/>
  <c r="AX449" i="26"/>
  <c r="AY449" i="26"/>
  <c r="AZ449" i="26"/>
  <c r="BA449" i="26"/>
  <c r="BB449" i="26"/>
  <c r="BC449" i="26"/>
  <c r="BD449" i="26"/>
  <c r="BE449" i="26"/>
  <c r="BF449" i="26"/>
  <c r="BG449" i="26"/>
  <c r="H450" i="26"/>
  <c r="I450" i="26"/>
  <c r="J450" i="26"/>
  <c r="K450" i="26"/>
  <c r="L450" i="26"/>
  <c r="M450" i="26"/>
  <c r="N450" i="26"/>
  <c r="O450" i="26"/>
  <c r="P450" i="26"/>
  <c r="Q450" i="26"/>
  <c r="R450" i="26"/>
  <c r="S450" i="26"/>
  <c r="T450" i="26"/>
  <c r="U450" i="26"/>
  <c r="V450" i="26"/>
  <c r="W450" i="26"/>
  <c r="X450" i="26"/>
  <c r="Y450" i="26"/>
  <c r="Z450" i="26"/>
  <c r="AA450" i="26"/>
  <c r="AB450" i="26"/>
  <c r="AC450" i="26"/>
  <c r="AD450" i="26"/>
  <c r="AE450" i="26"/>
  <c r="AF450" i="26"/>
  <c r="AG450" i="26"/>
  <c r="AH450" i="26"/>
  <c r="AI450" i="26"/>
  <c r="AJ450" i="26"/>
  <c r="AK450" i="26"/>
  <c r="AL450" i="26"/>
  <c r="AM450" i="26"/>
  <c r="AN450" i="26"/>
  <c r="AO450" i="26"/>
  <c r="AP450" i="26"/>
  <c r="AQ450" i="26"/>
  <c r="AR450" i="26"/>
  <c r="AS450" i="26"/>
  <c r="AT450" i="26"/>
  <c r="AU450" i="26"/>
  <c r="AV450" i="26"/>
  <c r="AW450" i="26"/>
  <c r="AX450" i="26"/>
  <c r="AY450" i="26"/>
  <c r="AZ450" i="26"/>
  <c r="BA450" i="26"/>
  <c r="BB450" i="26"/>
  <c r="BC450" i="26"/>
  <c r="BD450" i="26"/>
  <c r="BE450" i="26"/>
  <c r="BF450" i="26"/>
  <c r="BG450" i="26"/>
  <c r="H451" i="26"/>
  <c r="I451" i="26"/>
  <c r="J451" i="26"/>
  <c r="K451" i="26"/>
  <c r="L451" i="26"/>
  <c r="M451" i="26"/>
  <c r="N451" i="26"/>
  <c r="O451" i="26"/>
  <c r="P451" i="26"/>
  <c r="Q451" i="26"/>
  <c r="R451" i="26"/>
  <c r="S451" i="26"/>
  <c r="T451" i="26"/>
  <c r="U451" i="26"/>
  <c r="V451" i="26"/>
  <c r="W451" i="26"/>
  <c r="X451" i="26"/>
  <c r="Y451" i="26"/>
  <c r="Z451" i="26"/>
  <c r="AA451" i="26"/>
  <c r="AB451" i="26"/>
  <c r="AC451" i="26"/>
  <c r="AD451" i="26"/>
  <c r="AE451" i="26"/>
  <c r="AF451" i="26"/>
  <c r="AG451" i="26"/>
  <c r="AH451" i="26"/>
  <c r="AI451" i="26"/>
  <c r="AJ451" i="26"/>
  <c r="AK451" i="26"/>
  <c r="AL451" i="26"/>
  <c r="AM451" i="26"/>
  <c r="AN451" i="26"/>
  <c r="AO451" i="26"/>
  <c r="AP451" i="26"/>
  <c r="AQ451" i="26"/>
  <c r="AR451" i="26"/>
  <c r="AS451" i="26"/>
  <c r="AT451" i="26"/>
  <c r="AU451" i="26"/>
  <c r="AV451" i="26"/>
  <c r="AW451" i="26"/>
  <c r="AX451" i="26"/>
  <c r="AY451" i="26"/>
  <c r="AZ451" i="26"/>
  <c r="BA451" i="26"/>
  <c r="BB451" i="26"/>
  <c r="BC451" i="26"/>
  <c r="BD451" i="26"/>
  <c r="BE451" i="26"/>
  <c r="BF451" i="26"/>
  <c r="BG451" i="26"/>
  <c r="H452" i="26"/>
  <c r="I452" i="26"/>
  <c r="J452" i="26"/>
  <c r="K452" i="26"/>
  <c r="L452" i="26"/>
  <c r="M452" i="26"/>
  <c r="N452" i="26"/>
  <c r="O452" i="26"/>
  <c r="P452" i="26"/>
  <c r="Q452" i="26"/>
  <c r="R452" i="26"/>
  <c r="S452" i="26"/>
  <c r="T452" i="26"/>
  <c r="U452" i="26"/>
  <c r="V452" i="26"/>
  <c r="W452" i="26"/>
  <c r="X452" i="26"/>
  <c r="Y452" i="26"/>
  <c r="Z452" i="26"/>
  <c r="AA452" i="26"/>
  <c r="AB452" i="26"/>
  <c r="AC452" i="26"/>
  <c r="AD452" i="26"/>
  <c r="AE452" i="26"/>
  <c r="AF452" i="26"/>
  <c r="AG452" i="26"/>
  <c r="AH452" i="26"/>
  <c r="AI452" i="26"/>
  <c r="AJ452" i="26"/>
  <c r="AK452" i="26"/>
  <c r="AL452" i="26"/>
  <c r="AM452" i="26"/>
  <c r="AN452" i="26"/>
  <c r="AO452" i="26"/>
  <c r="AP452" i="26"/>
  <c r="AQ452" i="26"/>
  <c r="AR452" i="26"/>
  <c r="AS452" i="26"/>
  <c r="AT452" i="26"/>
  <c r="AU452" i="26"/>
  <c r="AV452" i="26"/>
  <c r="AW452" i="26"/>
  <c r="AX452" i="26"/>
  <c r="AY452" i="26"/>
  <c r="AZ452" i="26"/>
  <c r="BA452" i="26"/>
  <c r="BB452" i="26"/>
  <c r="BC452" i="26"/>
  <c r="BD452" i="26"/>
  <c r="BE452" i="26"/>
  <c r="BF452" i="26"/>
  <c r="BG452" i="26"/>
  <c r="H453" i="26"/>
  <c r="I453" i="26"/>
  <c r="J453" i="26"/>
  <c r="K453" i="26"/>
  <c r="L453" i="26"/>
  <c r="M453" i="26"/>
  <c r="N453" i="26"/>
  <c r="O453" i="26"/>
  <c r="P453" i="26"/>
  <c r="Q453" i="26"/>
  <c r="R453" i="26"/>
  <c r="S453" i="26"/>
  <c r="T453" i="26"/>
  <c r="U453" i="26"/>
  <c r="V453" i="26"/>
  <c r="W453" i="26"/>
  <c r="X453" i="26"/>
  <c r="Y453" i="26"/>
  <c r="Z453" i="26"/>
  <c r="AA453" i="26"/>
  <c r="AB453" i="26"/>
  <c r="AC453" i="26"/>
  <c r="AD453" i="26"/>
  <c r="AE453" i="26"/>
  <c r="AF453" i="26"/>
  <c r="AG453" i="26"/>
  <c r="AH453" i="26"/>
  <c r="AI453" i="26"/>
  <c r="AJ453" i="26"/>
  <c r="AK453" i="26"/>
  <c r="AL453" i="26"/>
  <c r="AM453" i="26"/>
  <c r="AN453" i="26"/>
  <c r="AO453" i="26"/>
  <c r="AP453" i="26"/>
  <c r="AQ453" i="26"/>
  <c r="AR453" i="26"/>
  <c r="AS453" i="26"/>
  <c r="AT453" i="26"/>
  <c r="AU453" i="26"/>
  <c r="AV453" i="26"/>
  <c r="AW453" i="26"/>
  <c r="AX453" i="26"/>
  <c r="AY453" i="26"/>
  <c r="AZ453" i="26"/>
  <c r="BA453" i="26"/>
  <c r="BB453" i="26"/>
  <c r="BC453" i="26"/>
  <c r="BD453" i="26"/>
  <c r="BE453" i="26"/>
  <c r="BF453" i="26"/>
  <c r="BG453" i="26"/>
  <c r="H454" i="26"/>
  <c r="I454" i="26"/>
  <c r="J454" i="26"/>
  <c r="K454" i="26"/>
  <c r="L454" i="26"/>
  <c r="M454" i="26"/>
  <c r="N454" i="26"/>
  <c r="O454" i="26"/>
  <c r="P454" i="26"/>
  <c r="Q454" i="26"/>
  <c r="R454" i="26"/>
  <c r="S454" i="26"/>
  <c r="T454" i="26"/>
  <c r="U454" i="26"/>
  <c r="V454" i="26"/>
  <c r="W454" i="26"/>
  <c r="X454" i="26"/>
  <c r="Y454" i="26"/>
  <c r="Z454" i="26"/>
  <c r="AA454" i="26"/>
  <c r="AB454" i="26"/>
  <c r="AC454" i="26"/>
  <c r="AD454" i="26"/>
  <c r="AE454" i="26"/>
  <c r="AF454" i="26"/>
  <c r="AG454" i="26"/>
  <c r="AH454" i="26"/>
  <c r="AI454" i="26"/>
  <c r="AJ454" i="26"/>
  <c r="AK454" i="26"/>
  <c r="AL454" i="26"/>
  <c r="AM454" i="26"/>
  <c r="AN454" i="26"/>
  <c r="AO454" i="26"/>
  <c r="AP454" i="26"/>
  <c r="AQ454" i="26"/>
  <c r="AR454" i="26"/>
  <c r="AS454" i="26"/>
  <c r="AT454" i="26"/>
  <c r="AU454" i="26"/>
  <c r="AV454" i="26"/>
  <c r="AW454" i="26"/>
  <c r="AX454" i="26"/>
  <c r="AY454" i="26"/>
  <c r="AZ454" i="26"/>
  <c r="BA454" i="26"/>
  <c r="BB454" i="26"/>
  <c r="BC454" i="26"/>
  <c r="BD454" i="26"/>
  <c r="BE454" i="26"/>
  <c r="BF454" i="26"/>
  <c r="BG454" i="26"/>
  <c r="H455" i="26"/>
  <c r="I455" i="26"/>
  <c r="J455" i="26"/>
  <c r="K455" i="26"/>
  <c r="L455" i="26"/>
  <c r="M455" i="26"/>
  <c r="N455" i="26"/>
  <c r="O455" i="26"/>
  <c r="P455" i="26"/>
  <c r="Q455" i="26"/>
  <c r="R455" i="26"/>
  <c r="S455" i="26"/>
  <c r="T455" i="26"/>
  <c r="U455" i="26"/>
  <c r="V455" i="26"/>
  <c r="W455" i="26"/>
  <c r="X455" i="26"/>
  <c r="Y455" i="26"/>
  <c r="Z455" i="26"/>
  <c r="AA455" i="26"/>
  <c r="AB455" i="26"/>
  <c r="AC455" i="26"/>
  <c r="AD455" i="26"/>
  <c r="AE455" i="26"/>
  <c r="AF455" i="26"/>
  <c r="AG455" i="26"/>
  <c r="AH455" i="26"/>
  <c r="AI455" i="26"/>
  <c r="AJ455" i="26"/>
  <c r="AK455" i="26"/>
  <c r="AL455" i="26"/>
  <c r="AM455" i="26"/>
  <c r="AN455" i="26"/>
  <c r="AO455" i="26"/>
  <c r="AP455" i="26"/>
  <c r="AQ455" i="26"/>
  <c r="AR455" i="26"/>
  <c r="AS455" i="26"/>
  <c r="AT455" i="26"/>
  <c r="AU455" i="26"/>
  <c r="AV455" i="26"/>
  <c r="AW455" i="26"/>
  <c r="AX455" i="26"/>
  <c r="AY455" i="26"/>
  <c r="AZ455" i="26"/>
  <c r="BA455" i="26"/>
  <c r="BB455" i="26"/>
  <c r="BC455" i="26"/>
  <c r="BD455" i="26"/>
  <c r="BE455" i="26"/>
  <c r="BF455" i="26"/>
  <c r="BG455" i="26"/>
  <c r="H456" i="26"/>
  <c r="I456" i="26"/>
  <c r="J456" i="26"/>
  <c r="K456" i="26"/>
  <c r="L456" i="26"/>
  <c r="M456" i="26"/>
  <c r="N456" i="26"/>
  <c r="O456" i="26"/>
  <c r="P456" i="26"/>
  <c r="Q456" i="26"/>
  <c r="R456" i="26"/>
  <c r="S456" i="26"/>
  <c r="T456" i="26"/>
  <c r="U456" i="26"/>
  <c r="V456" i="26"/>
  <c r="W456" i="26"/>
  <c r="X456" i="26"/>
  <c r="Y456" i="26"/>
  <c r="Z456" i="26"/>
  <c r="AA456" i="26"/>
  <c r="AB456" i="26"/>
  <c r="AC456" i="26"/>
  <c r="AD456" i="26"/>
  <c r="AE456" i="26"/>
  <c r="AF456" i="26"/>
  <c r="AG456" i="26"/>
  <c r="AH456" i="26"/>
  <c r="AI456" i="26"/>
  <c r="AJ456" i="26"/>
  <c r="AK456" i="26"/>
  <c r="AL456" i="26"/>
  <c r="AM456" i="26"/>
  <c r="AN456" i="26"/>
  <c r="AO456" i="26"/>
  <c r="AP456" i="26"/>
  <c r="AQ456" i="26"/>
  <c r="AR456" i="26"/>
  <c r="AS456" i="26"/>
  <c r="AT456" i="26"/>
  <c r="AU456" i="26"/>
  <c r="AV456" i="26"/>
  <c r="AW456" i="26"/>
  <c r="AX456" i="26"/>
  <c r="AY456" i="26"/>
  <c r="AZ456" i="26"/>
  <c r="BA456" i="26"/>
  <c r="BB456" i="26"/>
  <c r="BC456" i="26"/>
  <c r="BD456" i="26"/>
  <c r="BE456" i="26"/>
  <c r="BF456" i="26"/>
  <c r="BG456" i="26"/>
  <c r="H457" i="26"/>
  <c r="I457" i="26"/>
  <c r="J457" i="26"/>
  <c r="K457" i="26"/>
  <c r="L457" i="26"/>
  <c r="M457" i="26"/>
  <c r="N457" i="26"/>
  <c r="O457" i="26"/>
  <c r="P457" i="26"/>
  <c r="Q457" i="26"/>
  <c r="R457" i="26"/>
  <c r="S457" i="26"/>
  <c r="T457" i="26"/>
  <c r="U457" i="26"/>
  <c r="V457" i="26"/>
  <c r="W457" i="26"/>
  <c r="X457" i="26"/>
  <c r="Y457" i="26"/>
  <c r="Z457" i="26"/>
  <c r="AA457" i="26"/>
  <c r="AB457" i="26"/>
  <c r="AC457" i="26"/>
  <c r="AD457" i="26"/>
  <c r="AE457" i="26"/>
  <c r="AF457" i="26"/>
  <c r="AG457" i="26"/>
  <c r="AH457" i="26"/>
  <c r="AI457" i="26"/>
  <c r="AJ457" i="26"/>
  <c r="AK457" i="26"/>
  <c r="AL457" i="26"/>
  <c r="AM457" i="26"/>
  <c r="AN457" i="26"/>
  <c r="AO457" i="26"/>
  <c r="AP457" i="26"/>
  <c r="AQ457" i="26"/>
  <c r="AR457" i="26"/>
  <c r="AS457" i="26"/>
  <c r="AT457" i="26"/>
  <c r="AU457" i="26"/>
  <c r="AV457" i="26"/>
  <c r="AW457" i="26"/>
  <c r="AX457" i="26"/>
  <c r="AY457" i="26"/>
  <c r="AZ457" i="26"/>
  <c r="BA457" i="26"/>
  <c r="BB457" i="26"/>
  <c r="BC457" i="26"/>
  <c r="BD457" i="26"/>
  <c r="BE457" i="26"/>
  <c r="BF457" i="26"/>
  <c r="BG457" i="26"/>
  <c r="H458" i="26"/>
  <c r="I458" i="26"/>
  <c r="J458" i="26"/>
  <c r="K458" i="26"/>
  <c r="L458" i="26"/>
  <c r="M458" i="26"/>
  <c r="N458" i="26"/>
  <c r="O458" i="26"/>
  <c r="P458" i="26"/>
  <c r="Q458" i="26"/>
  <c r="R458" i="26"/>
  <c r="S458" i="26"/>
  <c r="T458" i="26"/>
  <c r="U458" i="26"/>
  <c r="V458" i="26"/>
  <c r="W458" i="26"/>
  <c r="X458" i="26"/>
  <c r="Y458" i="26"/>
  <c r="Z458" i="26"/>
  <c r="AA458" i="26"/>
  <c r="AB458" i="26"/>
  <c r="AC458" i="26"/>
  <c r="AD458" i="26"/>
  <c r="AE458" i="26"/>
  <c r="AF458" i="26"/>
  <c r="AG458" i="26"/>
  <c r="AH458" i="26"/>
  <c r="AI458" i="26"/>
  <c r="AJ458" i="26"/>
  <c r="AK458" i="26"/>
  <c r="AL458" i="26"/>
  <c r="AM458" i="26"/>
  <c r="AN458" i="26"/>
  <c r="AO458" i="26"/>
  <c r="AP458" i="26"/>
  <c r="AQ458" i="26"/>
  <c r="AR458" i="26"/>
  <c r="AS458" i="26"/>
  <c r="AT458" i="26"/>
  <c r="AU458" i="26"/>
  <c r="AV458" i="26"/>
  <c r="AW458" i="26"/>
  <c r="AX458" i="26"/>
  <c r="AY458" i="26"/>
  <c r="AZ458" i="26"/>
  <c r="BA458" i="26"/>
  <c r="BB458" i="26"/>
  <c r="BC458" i="26"/>
  <c r="BD458" i="26"/>
  <c r="BE458" i="26"/>
  <c r="BF458" i="26"/>
  <c r="BG458" i="26"/>
  <c r="H459" i="26"/>
  <c r="I459" i="26"/>
  <c r="J459" i="26"/>
  <c r="K459" i="26"/>
  <c r="L459" i="26"/>
  <c r="M459" i="26"/>
  <c r="N459" i="26"/>
  <c r="O459" i="26"/>
  <c r="P459" i="26"/>
  <c r="Q459" i="26"/>
  <c r="R459" i="26"/>
  <c r="S459" i="26"/>
  <c r="T459" i="26"/>
  <c r="U459" i="26"/>
  <c r="V459" i="26"/>
  <c r="W459" i="26"/>
  <c r="X459" i="26"/>
  <c r="Y459" i="26"/>
  <c r="Z459" i="26"/>
  <c r="AA459" i="26"/>
  <c r="AB459" i="26"/>
  <c r="AC459" i="26"/>
  <c r="AD459" i="26"/>
  <c r="AE459" i="26"/>
  <c r="AF459" i="26"/>
  <c r="AG459" i="26"/>
  <c r="AH459" i="26"/>
  <c r="AI459" i="26"/>
  <c r="AJ459" i="26"/>
  <c r="AK459" i="26"/>
  <c r="AL459" i="26"/>
  <c r="AM459" i="26"/>
  <c r="AN459" i="26"/>
  <c r="AO459" i="26"/>
  <c r="AP459" i="26"/>
  <c r="AQ459" i="26"/>
  <c r="AR459" i="26"/>
  <c r="AS459" i="26"/>
  <c r="AT459" i="26"/>
  <c r="AU459" i="26"/>
  <c r="AV459" i="26"/>
  <c r="AW459" i="26"/>
  <c r="AX459" i="26"/>
  <c r="AY459" i="26"/>
  <c r="AZ459" i="26"/>
  <c r="BA459" i="26"/>
  <c r="BB459" i="26"/>
  <c r="BC459" i="26"/>
  <c r="BD459" i="26"/>
  <c r="BE459" i="26"/>
  <c r="BF459" i="26"/>
  <c r="BG459" i="26"/>
  <c r="H460" i="26"/>
  <c r="I460" i="26"/>
  <c r="J460" i="26"/>
  <c r="K460" i="26"/>
  <c r="L460" i="26"/>
  <c r="M460" i="26"/>
  <c r="N460" i="26"/>
  <c r="O460" i="26"/>
  <c r="P460" i="26"/>
  <c r="Q460" i="26"/>
  <c r="R460" i="26"/>
  <c r="S460" i="26"/>
  <c r="T460" i="26"/>
  <c r="U460" i="26"/>
  <c r="V460" i="26"/>
  <c r="W460" i="26"/>
  <c r="X460" i="26"/>
  <c r="Y460" i="26"/>
  <c r="Z460" i="26"/>
  <c r="AA460" i="26"/>
  <c r="AB460" i="26"/>
  <c r="AC460" i="26"/>
  <c r="AD460" i="26"/>
  <c r="AE460" i="26"/>
  <c r="AF460" i="26"/>
  <c r="AG460" i="26"/>
  <c r="AH460" i="26"/>
  <c r="AI460" i="26"/>
  <c r="AJ460" i="26"/>
  <c r="AK460" i="26"/>
  <c r="AL460" i="26"/>
  <c r="AM460" i="26"/>
  <c r="AN460" i="26"/>
  <c r="AO460" i="26"/>
  <c r="AP460" i="26"/>
  <c r="AQ460" i="26"/>
  <c r="AR460" i="26"/>
  <c r="AS460" i="26"/>
  <c r="AT460" i="26"/>
  <c r="AU460" i="26"/>
  <c r="AV460" i="26"/>
  <c r="AW460" i="26"/>
  <c r="AX460" i="26"/>
  <c r="AY460" i="26"/>
  <c r="AZ460" i="26"/>
  <c r="BA460" i="26"/>
  <c r="BB460" i="26"/>
  <c r="BC460" i="26"/>
  <c r="BD460" i="26"/>
  <c r="BE460" i="26"/>
  <c r="BF460" i="26"/>
  <c r="BG460" i="26"/>
  <c r="H461" i="26"/>
  <c r="I461" i="26"/>
  <c r="J461" i="26"/>
  <c r="K461" i="26"/>
  <c r="L461" i="26"/>
  <c r="M461" i="26"/>
  <c r="N461" i="26"/>
  <c r="O461" i="26"/>
  <c r="P461" i="26"/>
  <c r="Q461" i="26"/>
  <c r="R461" i="26"/>
  <c r="S461" i="26"/>
  <c r="T461" i="26"/>
  <c r="U461" i="26"/>
  <c r="V461" i="26"/>
  <c r="W461" i="26"/>
  <c r="X461" i="26"/>
  <c r="Y461" i="26"/>
  <c r="Z461" i="26"/>
  <c r="AA461" i="26"/>
  <c r="AB461" i="26"/>
  <c r="AC461" i="26"/>
  <c r="AD461" i="26"/>
  <c r="AE461" i="26"/>
  <c r="AF461" i="26"/>
  <c r="AG461" i="26"/>
  <c r="AH461" i="26"/>
  <c r="AI461" i="26"/>
  <c r="AJ461" i="26"/>
  <c r="AK461" i="26"/>
  <c r="AL461" i="26"/>
  <c r="AM461" i="26"/>
  <c r="AN461" i="26"/>
  <c r="AO461" i="26"/>
  <c r="AP461" i="26"/>
  <c r="AQ461" i="26"/>
  <c r="AR461" i="26"/>
  <c r="AS461" i="26"/>
  <c r="AT461" i="26"/>
  <c r="AU461" i="26"/>
  <c r="AV461" i="26"/>
  <c r="AW461" i="26"/>
  <c r="AX461" i="26"/>
  <c r="AY461" i="26"/>
  <c r="AZ461" i="26"/>
  <c r="BA461" i="26"/>
  <c r="BB461" i="26"/>
  <c r="BC461" i="26"/>
  <c r="BD461" i="26"/>
  <c r="BE461" i="26"/>
  <c r="BF461" i="26"/>
  <c r="BG461" i="26"/>
  <c r="H462" i="26"/>
  <c r="I462" i="26"/>
  <c r="J462" i="26"/>
  <c r="K462" i="26"/>
  <c r="L462" i="26"/>
  <c r="M462" i="26"/>
  <c r="N462" i="26"/>
  <c r="O462" i="26"/>
  <c r="P462" i="26"/>
  <c r="Q462" i="26"/>
  <c r="R462" i="26"/>
  <c r="S462" i="26"/>
  <c r="T462" i="26"/>
  <c r="U462" i="26"/>
  <c r="V462" i="26"/>
  <c r="W462" i="26"/>
  <c r="X462" i="26"/>
  <c r="Y462" i="26"/>
  <c r="Z462" i="26"/>
  <c r="AA462" i="26"/>
  <c r="AB462" i="26"/>
  <c r="AC462" i="26"/>
  <c r="AD462" i="26"/>
  <c r="AE462" i="26"/>
  <c r="AF462" i="26"/>
  <c r="AG462" i="26"/>
  <c r="AH462" i="26"/>
  <c r="AI462" i="26"/>
  <c r="AJ462" i="26"/>
  <c r="AK462" i="26"/>
  <c r="AL462" i="26"/>
  <c r="AM462" i="26"/>
  <c r="AN462" i="26"/>
  <c r="AO462" i="26"/>
  <c r="AP462" i="26"/>
  <c r="AQ462" i="26"/>
  <c r="AR462" i="26"/>
  <c r="AS462" i="26"/>
  <c r="AT462" i="26"/>
  <c r="AU462" i="26"/>
  <c r="AV462" i="26"/>
  <c r="AW462" i="26"/>
  <c r="AX462" i="26"/>
  <c r="AY462" i="26"/>
  <c r="AZ462" i="26"/>
  <c r="BA462" i="26"/>
  <c r="BB462" i="26"/>
  <c r="BC462" i="26"/>
  <c r="BD462" i="26"/>
  <c r="BE462" i="26"/>
  <c r="BF462" i="26"/>
  <c r="BG462" i="26"/>
  <c r="H463" i="26"/>
  <c r="I463" i="26"/>
  <c r="J463" i="26"/>
  <c r="K463" i="26"/>
  <c r="L463" i="26"/>
  <c r="M463" i="26"/>
  <c r="N463" i="26"/>
  <c r="O463" i="26"/>
  <c r="P463" i="26"/>
  <c r="Q463" i="26"/>
  <c r="R463" i="26"/>
  <c r="S463" i="26"/>
  <c r="T463" i="26"/>
  <c r="U463" i="26"/>
  <c r="V463" i="26"/>
  <c r="W463" i="26"/>
  <c r="X463" i="26"/>
  <c r="Y463" i="26"/>
  <c r="Z463" i="26"/>
  <c r="AA463" i="26"/>
  <c r="AB463" i="26"/>
  <c r="AC463" i="26"/>
  <c r="AD463" i="26"/>
  <c r="AE463" i="26"/>
  <c r="AF463" i="26"/>
  <c r="AG463" i="26"/>
  <c r="AH463" i="26"/>
  <c r="AI463" i="26"/>
  <c r="AJ463" i="26"/>
  <c r="AK463" i="26"/>
  <c r="AL463" i="26"/>
  <c r="AM463" i="26"/>
  <c r="AN463" i="26"/>
  <c r="AO463" i="26"/>
  <c r="AP463" i="26"/>
  <c r="AQ463" i="26"/>
  <c r="AR463" i="26"/>
  <c r="AS463" i="26"/>
  <c r="AT463" i="26"/>
  <c r="AU463" i="26"/>
  <c r="AV463" i="26"/>
  <c r="AW463" i="26"/>
  <c r="AX463" i="26"/>
  <c r="AY463" i="26"/>
  <c r="AZ463" i="26"/>
  <c r="BA463" i="26"/>
  <c r="BB463" i="26"/>
  <c r="BC463" i="26"/>
  <c r="BD463" i="26"/>
  <c r="BE463" i="26"/>
  <c r="BF463" i="26"/>
  <c r="BG463" i="26"/>
  <c r="H464" i="26"/>
  <c r="I464" i="26"/>
  <c r="J464" i="26"/>
  <c r="K464" i="26"/>
  <c r="L464" i="26"/>
  <c r="M464" i="26"/>
  <c r="N464" i="26"/>
  <c r="O464" i="26"/>
  <c r="P464" i="26"/>
  <c r="Q464" i="26"/>
  <c r="R464" i="26"/>
  <c r="S464" i="26"/>
  <c r="T464" i="26"/>
  <c r="U464" i="26"/>
  <c r="V464" i="26"/>
  <c r="W464" i="26"/>
  <c r="X464" i="26"/>
  <c r="Y464" i="26"/>
  <c r="Z464" i="26"/>
  <c r="AA464" i="26"/>
  <c r="AB464" i="26"/>
  <c r="AC464" i="26"/>
  <c r="AD464" i="26"/>
  <c r="AE464" i="26"/>
  <c r="AF464" i="26"/>
  <c r="AG464" i="26"/>
  <c r="AH464" i="26"/>
  <c r="AI464" i="26"/>
  <c r="AJ464" i="26"/>
  <c r="AK464" i="26"/>
  <c r="AL464" i="26"/>
  <c r="AM464" i="26"/>
  <c r="AN464" i="26"/>
  <c r="AO464" i="26"/>
  <c r="AP464" i="26"/>
  <c r="AQ464" i="26"/>
  <c r="AR464" i="26"/>
  <c r="AS464" i="26"/>
  <c r="AT464" i="26"/>
  <c r="AU464" i="26"/>
  <c r="AV464" i="26"/>
  <c r="AW464" i="26"/>
  <c r="AX464" i="26"/>
  <c r="AY464" i="26"/>
  <c r="AZ464" i="26"/>
  <c r="BA464" i="26"/>
  <c r="BB464" i="26"/>
  <c r="BC464" i="26"/>
  <c r="BD464" i="26"/>
  <c r="BE464" i="26"/>
  <c r="BF464" i="26"/>
  <c r="BG464" i="26"/>
  <c r="H465" i="26"/>
  <c r="I465" i="26"/>
  <c r="J465" i="26"/>
  <c r="K465" i="26"/>
  <c r="L465" i="26"/>
  <c r="M465" i="26"/>
  <c r="N465" i="26"/>
  <c r="O465" i="26"/>
  <c r="P465" i="26"/>
  <c r="Q465" i="26"/>
  <c r="R465" i="26"/>
  <c r="S465" i="26"/>
  <c r="T465" i="26"/>
  <c r="U465" i="26"/>
  <c r="V465" i="26"/>
  <c r="W465" i="26"/>
  <c r="X465" i="26"/>
  <c r="Y465" i="26"/>
  <c r="Z465" i="26"/>
  <c r="AA465" i="26"/>
  <c r="AB465" i="26"/>
  <c r="AC465" i="26"/>
  <c r="AD465" i="26"/>
  <c r="AE465" i="26"/>
  <c r="AF465" i="26"/>
  <c r="AG465" i="26"/>
  <c r="AH465" i="26"/>
  <c r="AI465" i="26"/>
  <c r="AJ465" i="26"/>
  <c r="AK465" i="26"/>
  <c r="AL465" i="26"/>
  <c r="AM465" i="26"/>
  <c r="AN465" i="26"/>
  <c r="AO465" i="26"/>
  <c r="AP465" i="26"/>
  <c r="AQ465" i="26"/>
  <c r="AR465" i="26"/>
  <c r="AS465" i="26"/>
  <c r="AT465" i="26"/>
  <c r="AU465" i="26"/>
  <c r="AV465" i="26"/>
  <c r="AW465" i="26"/>
  <c r="AX465" i="26"/>
  <c r="AY465" i="26"/>
  <c r="AZ465" i="26"/>
  <c r="BA465" i="26"/>
  <c r="BB465" i="26"/>
  <c r="BC465" i="26"/>
  <c r="BD465" i="26"/>
  <c r="BE465" i="26"/>
  <c r="BF465" i="26"/>
  <c r="BG465" i="26"/>
  <c r="H466" i="26"/>
  <c r="I466" i="26"/>
  <c r="J466" i="26"/>
  <c r="K466" i="26"/>
  <c r="L466" i="26"/>
  <c r="M466" i="26"/>
  <c r="N466" i="26"/>
  <c r="O466" i="26"/>
  <c r="P466" i="26"/>
  <c r="Q466" i="26"/>
  <c r="R466" i="26"/>
  <c r="S466" i="26"/>
  <c r="T466" i="26"/>
  <c r="U466" i="26"/>
  <c r="V466" i="26"/>
  <c r="W466" i="26"/>
  <c r="X466" i="26"/>
  <c r="Y466" i="26"/>
  <c r="Z466" i="26"/>
  <c r="AA466" i="26"/>
  <c r="AB466" i="26"/>
  <c r="AC466" i="26"/>
  <c r="AD466" i="26"/>
  <c r="AE466" i="26"/>
  <c r="AF466" i="26"/>
  <c r="AG466" i="26"/>
  <c r="AH466" i="26"/>
  <c r="AI466" i="26"/>
  <c r="AJ466" i="26"/>
  <c r="AK466" i="26"/>
  <c r="AL466" i="26"/>
  <c r="AM466" i="26"/>
  <c r="AN466" i="26"/>
  <c r="AO466" i="26"/>
  <c r="AP466" i="26"/>
  <c r="AQ466" i="26"/>
  <c r="AR466" i="26"/>
  <c r="AS466" i="26"/>
  <c r="AT466" i="26"/>
  <c r="AU466" i="26"/>
  <c r="AV466" i="26"/>
  <c r="AW466" i="26"/>
  <c r="AX466" i="26"/>
  <c r="AY466" i="26"/>
  <c r="AZ466" i="26"/>
  <c r="BA466" i="26"/>
  <c r="BB466" i="26"/>
  <c r="BC466" i="26"/>
  <c r="BD466" i="26"/>
  <c r="BE466" i="26"/>
  <c r="BF466" i="26"/>
  <c r="BG466" i="26"/>
  <c r="H467" i="26"/>
  <c r="I467" i="26"/>
  <c r="J467" i="26"/>
  <c r="K467" i="26"/>
  <c r="L467" i="26"/>
  <c r="M467" i="26"/>
  <c r="N467" i="26"/>
  <c r="O467" i="26"/>
  <c r="P467" i="26"/>
  <c r="Q467" i="26"/>
  <c r="R467" i="26"/>
  <c r="S467" i="26"/>
  <c r="T467" i="26"/>
  <c r="U467" i="26"/>
  <c r="V467" i="26"/>
  <c r="W467" i="26"/>
  <c r="X467" i="26"/>
  <c r="Y467" i="26"/>
  <c r="Z467" i="26"/>
  <c r="AA467" i="26"/>
  <c r="AB467" i="26"/>
  <c r="AC467" i="26"/>
  <c r="AD467" i="26"/>
  <c r="AE467" i="26"/>
  <c r="AF467" i="26"/>
  <c r="AG467" i="26"/>
  <c r="AH467" i="26"/>
  <c r="AI467" i="26"/>
  <c r="AJ467" i="26"/>
  <c r="AK467" i="26"/>
  <c r="AL467" i="26"/>
  <c r="AM467" i="26"/>
  <c r="AN467" i="26"/>
  <c r="AO467" i="26"/>
  <c r="AP467" i="26"/>
  <c r="AQ467" i="26"/>
  <c r="AR467" i="26"/>
  <c r="AS467" i="26"/>
  <c r="AT467" i="26"/>
  <c r="AU467" i="26"/>
  <c r="AV467" i="26"/>
  <c r="AW467" i="26"/>
  <c r="AX467" i="26"/>
  <c r="AY467" i="26"/>
  <c r="AZ467" i="26"/>
  <c r="BA467" i="26"/>
  <c r="BB467" i="26"/>
  <c r="BC467" i="26"/>
  <c r="BD467" i="26"/>
  <c r="BE467" i="26"/>
  <c r="BF467" i="26"/>
  <c r="BG467" i="26"/>
  <c r="H468" i="26"/>
  <c r="I468" i="26"/>
  <c r="J468" i="26"/>
  <c r="K468" i="26"/>
  <c r="L468" i="26"/>
  <c r="M468" i="26"/>
  <c r="N468" i="26"/>
  <c r="O468" i="26"/>
  <c r="P468" i="26"/>
  <c r="Q468" i="26"/>
  <c r="R468" i="26"/>
  <c r="S468" i="26"/>
  <c r="T468" i="26"/>
  <c r="U468" i="26"/>
  <c r="V468" i="26"/>
  <c r="W468" i="26"/>
  <c r="X468" i="26"/>
  <c r="Y468" i="26"/>
  <c r="Z468" i="26"/>
  <c r="AA468" i="26"/>
  <c r="AB468" i="26"/>
  <c r="AC468" i="26"/>
  <c r="AD468" i="26"/>
  <c r="AE468" i="26"/>
  <c r="AF468" i="26"/>
  <c r="AG468" i="26"/>
  <c r="AH468" i="26"/>
  <c r="AI468" i="26"/>
  <c r="AJ468" i="26"/>
  <c r="AK468" i="26"/>
  <c r="AL468" i="26"/>
  <c r="AM468" i="26"/>
  <c r="AN468" i="26"/>
  <c r="AO468" i="26"/>
  <c r="AP468" i="26"/>
  <c r="AQ468" i="26"/>
  <c r="AR468" i="26"/>
  <c r="AS468" i="26"/>
  <c r="AT468" i="26"/>
  <c r="AU468" i="26"/>
  <c r="AV468" i="26"/>
  <c r="AW468" i="26"/>
  <c r="AX468" i="26"/>
  <c r="AY468" i="26"/>
  <c r="AZ468" i="26"/>
  <c r="BA468" i="26"/>
  <c r="BB468" i="26"/>
  <c r="BC468" i="26"/>
  <c r="BD468" i="26"/>
  <c r="BE468" i="26"/>
  <c r="BF468" i="26"/>
  <c r="BG468" i="26"/>
  <c r="H469" i="26"/>
  <c r="I469" i="26"/>
  <c r="J469" i="26"/>
  <c r="K469" i="26"/>
  <c r="L469" i="26"/>
  <c r="M469" i="26"/>
  <c r="N469" i="26"/>
  <c r="O469" i="26"/>
  <c r="P469" i="26"/>
  <c r="Q469" i="26"/>
  <c r="R469" i="26"/>
  <c r="S469" i="26"/>
  <c r="T469" i="26"/>
  <c r="U469" i="26"/>
  <c r="V469" i="26"/>
  <c r="W469" i="26"/>
  <c r="X469" i="26"/>
  <c r="Y469" i="26"/>
  <c r="Z469" i="26"/>
  <c r="AA469" i="26"/>
  <c r="AB469" i="26"/>
  <c r="AC469" i="26"/>
  <c r="AD469" i="26"/>
  <c r="AE469" i="26"/>
  <c r="AF469" i="26"/>
  <c r="AG469" i="26"/>
  <c r="AH469" i="26"/>
  <c r="AI469" i="26"/>
  <c r="AJ469" i="26"/>
  <c r="AK469" i="26"/>
  <c r="AL469" i="26"/>
  <c r="AM469" i="26"/>
  <c r="AN469" i="26"/>
  <c r="AO469" i="26"/>
  <c r="AP469" i="26"/>
  <c r="AQ469" i="26"/>
  <c r="AR469" i="26"/>
  <c r="AS469" i="26"/>
  <c r="AT469" i="26"/>
  <c r="AU469" i="26"/>
  <c r="AV469" i="26"/>
  <c r="AW469" i="26"/>
  <c r="AX469" i="26"/>
  <c r="AY469" i="26"/>
  <c r="AZ469" i="26"/>
  <c r="BA469" i="26"/>
  <c r="BB469" i="26"/>
  <c r="BC469" i="26"/>
  <c r="BD469" i="26"/>
  <c r="BE469" i="26"/>
  <c r="BF469" i="26"/>
  <c r="BG469" i="26"/>
  <c r="H470" i="26"/>
  <c r="I470" i="26"/>
  <c r="J470" i="26"/>
  <c r="K470" i="26"/>
  <c r="L470" i="26"/>
  <c r="M470" i="26"/>
  <c r="N470" i="26"/>
  <c r="O470" i="26"/>
  <c r="P470" i="26"/>
  <c r="Q470" i="26"/>
  <c r="R470" i="26"/>
  <c r="S470" i="26"/>
  <c r="T470" i="26"/>
  <c r="U470" i="26"/>
  <c r="V470" i="26"/>
  <c r="W470" i="26"/>
  <c r="X470" i="26"/>
  <c r="Y470" i="26"/>
  <c r="Z470" i="26"/>
  <c r="AA470" i="26"/>
  <c r="AB470" i="26"/>
  <c r="AC470" i="26"/>
  <c r="AD470" i="26"/>
  <c r="AE470" i="26"/>
  <c r="AF470" i="26"/>
  <c r="AG470" i="26"/>
  <c r="AH470" i="26"/>
  <c r="AI470" i="26"/>
  <c r="AJ470" i="26"/>
  <c r="AK470" i="26"/>
  <c r="AL470" i="26"/>
  <c r="AM470" i="26"/>
  <c r="AN470" i="26"/>
  <c r="AO470" i="26"/>
  <c r="AP470" i="26"/>
  <c r="AQ470" i="26"/>
  <c r="AR470" i="26"/>
  <c r="AS470" i="26"/>
  <c r="AT470" i="26"/>
  <c r="AU470" i="26"/>
  <c r="AV470" i="26"/>
  <c r="AW470" i="26"/>
  <c r="AX470" i="26"/>
  <c r="AY470" i="26"/>
  <c r="AZ470" i="26"/>
  <c r="BA470" i="26"/>
  <c r="BB470" i="26"/>
  <c r="BC470" i="26"/>
  <c r="BD470" i="26"/>
  <c r="BE470" i="26"/>
  <c r="BF470" i="26"/>
  <c r="BG470" i="26"/>
  <c r="H471" i="26"/>
  <c r="I471" i="26"/>
  <c r="J471" i="26"/>
  <c r="K471" i="26"/>
  <c r="L471" i="26"/>
  <c r="M471" i="26"/>
  <c r="N471" i="26"/>
  <c r="O471" i="26"/>
  <c r="P471" i="26"/>
  <c r="Q471" i="26"/>
  <c r="R471" i="26"/>
  <c r="S471" i="26"/>
  <c r="T471" i="26"/>
  <c r="U471" i="26"/>
  <c r="V471" i="26"/>
  <c r="W471" i="26"/>
  <c r="X471" i="26"/>
  <c r="Y471" i="26"/>
  <c r="Z471" i="26"/>
  <c r="AA471" i="26"/>
  <c r="AB471" i="26"/>
  <c r="AC471" i="26"/>
  <c r="AD471" i="26"/>
  <c r="AE471" i="26"/>
  <c r="AF471" i="26"/>
  <c r="AG471" i="26"/>
  <c r="AH471" i="26"/>
  <c r="AI471" i="26"/>
  <c r="AJ471" i="26"/>
  <c r="AK471" i="26"/>
  <c r="AL471" i="26"/>
  <c r="AM471" i="26"/>
  <c r="AN471" i="26"/>
  <c r="AO471" i="26"/>
  <c r="AP471" i="26"/>
  <c r="AQ471" i="26"/>
  <c r="AR471" i="26"/>
  <c r="AS471" i="26"/>
  <c r="AT471" i="26"/>
  <c r="AU471" i="26"/>
  <c r="AV471" i="26"/>
  <c r="AW471" i="26"/>
  <c r="AX471" i="26"/>
  <c r="AY471" i="26"/>
  <c r="AZ471" i="26"/>
  <c r="BA471" i="26"/>
  <c r="BB471" i="26"/>
  <c r="BC471" i="26"/>
  <c r="BD471" i="26"/>
  <c r="BE471" i="26"/>
  <c r="BF471" i="26"/>
  <c r="BG471" i="26"/>
  <c r="H472" i="26"/>
  <c r="I472" i="26"/>
  <c r="J472" i="26"/>
  <c r="K472" i="26"/>
  <c r="L472" i="26"/>
  <c r="M472" i="26"/>
  <c r="N472" i="26"/>
  <c r="O472" i="26"/>
  <c r="P472" i="26"/>
  <c r="Q472" i="26"/>
  <c r="R472" i="26"/>
  <c r="S472" i="26"/>
  <c r="T472" i="26"/>
  <c r="U472" i="26"/>
  <c r="V472" i="26"/>
  <c r="W472" i="26"/>
  <c r="X472" i="26"/>
  <c r="Y472" i="26"/>
  <c r="Z472" i="26"/>
  <c r="AA472" i="26"/>
  <c r="AB472" i="26"/>
  <c r="AC472" i="26"/>
  <c r="AD472" i="26"/>
  <c r="AE472" i="26"/>
  <c r="AF472" i="26"/>
  <c r="AG472" i="26"/>
  <c r="AH472" i="26"/>
  <c r="AI472" i="26"/>
  <c r="AJ472" i="26"/>
  <c r="AK472" i="26"/>
  <c r="AL472" i="26"/>
  <c r="AM472" i="26"/>
  <c r="AN472" i="26"/>
  <c r="AO472" i="26"/>
  <c r="AP472" i="26"/>
  <c r="AQ472" i="26"/>
  <c r="AR472" i="26"/>
  <c r="AS472" i="26"/>
  <c r="AT472" i="26"/>
  <c r="AU472" i="26"/>
  <c r="AV472" i="26"/>
  <c r="AW472" i="26"/>
  <c r="AX472" i="26"/>
  <c r="AY472" i="26"/>
  <c r="AZ472" i="26"/>
  <c r="BA472" i="26"/>
  <c r="BB472" i="26"/>
  <c r="BC472" i="26"/>
  <c r="BD472" i="26"/>
  <c r="BE472" i="26"/>
  <c r="BF472" i="26"/>
  <c r="BG472" i="26"/>
  <c r="H473" i="26"/>
  <c r="I473" i="26"/>
  <c r="J473" i="26"/>
  <c r="K473" i="26"/>
  <c r="L473" i="26"/>
  <c r="M473" i="26"/>
  <c r="N473" i="26"/>
  <c r="O473" i="26"/>
  <c r="P473" i="26"/>
  <c r="Q473" i="26"/>
  <c r="R473" i="26"/>
  <c r="S473" i="26"/>
  <c r="T473" i="26"/>
  <c r="U473" i="26"/>
  <c r="V473" i="26"/>
  <c r="W473" i="26"/>
  <c r="X473" i="26"/>
  <c r="Y473" i="26"/>
  <c r="Z473" i="26"/>
  <c r="AA473" i="26"/>
  <c r="AB473" i="26"/>
  <c r="AC473" i="26"/>
  <c r="AD473" i="26"/>
  <c r="AE473" i="26"/>
  <c r="AF473" i="26"/>
  <c r="AG473" i="26"/>
  <c r="AH473" i="26"/>
  <c r="AI473" i="26"/>
  <c r="AJ473" i="26"/>
  <c r="AK473" i="26"/>
  <c r="AL473" i="26"/>
  <c r="AM473" i="26"/>
  <c r="AN473" i="26"/>
  <c r="AO473" i="26"/>
  <c r="AP473" i="26"/>
  <c r="AQ473" i="26"/>
  <c r="AR473" i="26"/>
  <c r="AS473" i="26"/>
  <c r="AT473" i="26"/>
  <c r="AU473" i="26"/>
  <c r="AV473" i="26"/>
  <c r="AW473" i="26"/>
  <c r="AX473" i="26"/>
  <c r="AY473" i="26"/>
  <c r="AZ473" i="26"/>
  <c r="BA473" i="26"/>
  <c r="BB473" i="26"/>
  <c r="BC473" i="26"/>
  <c r="BD473" i="26"/>
  <c r="BE473" i="26"/>
  <c r="BF473" i="26"/>
  <c r="BG473" i="26"/>
  <c r="H474" i="26"/>
  <c r="I474" i="26"/>
  <c r="J474" i="26"/>
  <c r="K474" i="26"/>
  <c r="L474" i="26"/>
  <c r="M474" i="26"/>
  <c r="N474" i="26"/>
  <c r="O474" i="26"/>
  <c r="P474" i="26"/>
  <c r="Q474" i="26"/>
  <c r="R474" i="26"/>
  <c r="S474" i="26"/>
  <c r="T474" i="26"/>
  <c r="U474" i="26"/>
  <c r="V474" i="26"/>
  <c r="W474" i="26"/>
  <c r="X474" i="26"/>
  <c r="Y474" i="26"/>
  <c r="Z474" i="26"/>
  <c r="AA474" i="26"/>
  <c r="AB474" i="26"/>
  <c r="AC474" i="26"/>
  <c r="AD474" i="26"/>
  <c r="AE474" i="26"/>
  <c r="AF474" i="26"/>
  <c r="AG474" i="26"/>
  <c r="AH474" i="26"/>
  <c r="AI474" i="26"/>
  <c r="AJ474" i="26"/>
  <c r="AK474" i="26"/>
  <c r="AL474" i="26"/>
  <c r="AM474" i="26"/>
  <c r="AN474" i="26"/>
  <c r="AO474" i="26"/>
  <c r="AP474" i="26"/>
  <c r="AQ474" i="26"/>
  <c r="AR474" i="26"/>
  <c r="AS474" i="26"/>
  <c r="AT474" i="26"/>
  <c r="AU474" i="26"/>
  <c r="AV474" i="26"/>
  <c r="AW474" i="26"/>
  <c r="AX474" i="26"/>
  <c r="AY474" i="26"/>
  <c r="AZ474" i="26"/>
  <c r="BA474" i="26"/>
  <c r="BB474" i="26"/>
  <c r="BC474" i="26"/>
  <c r="BD474" i="26"/>
  <c r="BE474" i="26"/>
  <c r="BF474" i="26"/>
  <c r="BG474" i="26"/>
  <c r="H475" i="26"/>
  <c r="I475" i="26"/>
  <c r="J475" i="26"/>
  <c r="K475" i="26"/>
  <c r="L475" i="26"/>
  <c r="M475" i="26"/>
  <c r="N475" i="26"/>
  <c r="O475" i="26"/>
  <c r="P475" i="26"/>
  <c r="Q475" i="26"/>
  <c r="R475" i="26"/>
  <c r="S475" i="26"/>
  <c r="T475" i="26"/>
  <c r="U475" i="26"/>
  <c r="V475" i="26"/>
  <c r="W475" i="26"/>
  <c r="X475" i="26"/>
  <c r="Y475" i="26"/>
  <c r="Z475" i="26"/>
  <c r="AA475" i="26"/>
  <c r="AB475" i="26"/>
  <c r="AC475" i="26"/>
  <c r="AD475" i="26"/>
  <c r="AE475" i="26"/>
  <c r="AF475" i="26"/>
  <c r="AG475" i="26"/>
  <c r="AH475" i="26"/>
  <c r="AI475" i="26"/>
  <c r="AJ475" i="26"/>
  <c r="AK475" i="26"/>
  <c r="AL475" i="26"/>
  <c r="AM475" i="26"/>
  <c r="AN475" i="26"/>
  <c r="AO475" i="26"/>
  <c r="AP475" i="26"/>
  <c r="AQ475" i="26"/>
  <c r="AR475" i="26"/>
  <c r="AS475" i="26"/>
  <c r="AT475" i="26"/>
  <c r="AU475" i="26"/>
  <c r="AV475" i="26"/>
  <c r="AW475" i="26"/>
  <c r="AX475" i="26"/>
  <c r="AY475" i="26"/>
  <c r="AZ475" i="26"/>
  <c r="BA475" i="26"/>
  <c r="BB475" i="26"/>
  <c r="BC475" i="26"/>
  <c r="BD475" i="26"/>
  <c r="BE475" i="26"/>
  <c r="BF475" i="26"/>
  <c r="BG475" i="26"/>
  <c r="H476" i="26"/>
  <c r="I476" i="26"/>
  <c r="J476" i="26"/>
  <c r="K476" i="26"/>
  <c r="L476" i="26"/>
  <c r="M476" i="26"/>
  <c r="N476" i="26"/>
  <c r="O476" i="26"/>
  <c r="P476" i="26"/>
  <c r="Q476" i="26"/>
  <c r="R476" i="26"/>
  <c r="S476" i="26"/>
  <c r="T476" i="26"/>
  <c r="U476" i="26"/>
  <c r="V476" i="26"/>
  <c r="W476" i="26"/>
  <c r="X476" i="26"/>
  <c r="Y476" i="26"/>
  <c r="Z476" i="26"/>
  <c r="AA476" i="26"/>
  <c r="AB476" i="26"/>
  <c r="AC476" i="26"/>
  <c r="AD476" i="26"/>
  <c r="AE476" i="26"/>
  <c r="AF476" i="26"/>
  <c r="AG476" i="26"/>
  <c r="AH476" i="26"/>
  <c r="AI476" i="26"/>
  <c r="AJ476" i="26"/>
  <c r="AK476" i="26"/>
  <c r="AL476" i="26"/>
  <c r="AM476" i="26"/>
  <c r="AN476" i="26"/>
  <c r="AO476" i="26"/>
  <c r="AP476" i="26"/>
  <c r="AQ476" i="26"/>
  <c r="AR476" i="26"/>
  <c r="AS476" i="26"/>
  <c r="AT476" i="26"/>
  <c r="AU476" i="26"/>
  <c r="AV476" i="26"/>
  <c r="AW476" i="26"/>
  <c r="AX476" i="26"/>
  <c r="AY476" i="26"/>
  <c r="AZ476" i="26"/>
  <c r="BA476" i="26"/>
  <c r="BB476" i="26"/>
  <c r="BC476" i="26"/>
  <c r="BD476" i="26"/>
  <c r="BE476" i="26"/>
  <c r="BF476" i="26"/>
  <c r="BG476" i="26"/>
  <c r="H477" i="26"/>
  <c r="I477" i="26"/>
  <c r="J477" i="26"/>
  <c r="K477" i="26"/>
  <c r="L477" i="26"/>
  <c r="M477" i="26"/>
  <c r="N477" i="26"/>
  <c r="O477" i="26"/>
  <c r="P477" i="26"/>
  <c r="Q477" i="26"/>
  <c r="R477" i="26"/>
  <c r="S477" i="26"/>
  <c r="T477" i="26"/>
  <c r="U477" i="26"/>
  <c r="V477" i="26"/>
  <c r="W477" i="26"/>
  <c r="X477" i="26"/>
  <c r="Y477" i="26"/>
  <c r="Z477" i="26"/>
  <c r="AA477" i="26"/>
  <c r="AB477" i="26"/>
  <c r="AC477" i="26"/>
  <c r="AD477" i="26"/>
  <c r="AE477" i="26"/>
  <c r="AF477" i="26"/>
  <c r="AG477" i="26"/>
  <c r="AH477" i="26"/>
  <c r="AI477" i="26"/>
  <c r="AJ477" i="26"/>
  <c r="AK477" i="26"/>
  <c r="AL477" i="26"/>
  <c r="AM477" i="26"/>
  <c r="AN477" i="26"/>
  <c r="AO477" i="26"/>
  <c r="AP477" i="26"/>
  <c r="AQ477" i="26"/>
  <c r="AR477" i="26"/>
  <c r="AS477" i="26"/>
  <c r="AT477" i="26"/>
  <c r="AU477" i="26"/>
  <c r="AV477" i="26"/>
  <c r="AW477" i="26"/>
  <c r="AX477" i="26"/>
  <c r="AY477" i="26"/>
  <c r="AZ477" i="26"/>
  <c r="BA477" i="26"/>
  <c r="BB477" i="26"/>
  <c r="BC477" i="26"/>
  <c r="BD477" i="26"/>
  <c r="BE477" i="26"/>
  <c r="BF477" i="26"/>
  <c r="BG477" i="26"/>
  <c r="H478" i="26"/>
  <c r="I478" i="26"/>
  <c r="J478" i="26"/>
  <c r="K478" i="26"/>
  <c r="L478" i="26"/>
  <c r="M478" i="26"/>
  <c r="N478" i="26"/>
  <c r="O478" i="26"/>
  <c r="P478" i="26"/>
  <c r="Q478" i="26"/>
  <c r="R478" i="26"/>
  <c r="S478" i="26"/>
  <c r="T478" i="26"/>
  <c r="U478" i="26"/>
  <c r="V478" i="26"/>
  <c r="W478" i="26"/>
  <c r="X478" i="26"/>
  <c r="Y478" i="26"/>
  <c r="Z478" i="26"/>
  <c r="AA478" i="26"/>
  <c r="AB478" i="26"/>
  <c r="AC478" i="26"/>
  <c r="AD478" i="26"/>
  <c r="AE478" i="26"/>
  <c r="AF478" i="26"/>
  <c r="AG478" i="26"/>
  <c r="AH478" i="26"/>
  <c r="AI478" i="26"/>
  <c r="AJ478" i="26"/>
  <c r="AK478" i="26"/>
  <c r="AL478" i="26"/>
  <c r="AM478" i="26"/>
  <c r="AN478" i="26"/>
  <c r="AO478" i="26"/>
  <c r="AP478" i="26"/>
  <c r="AQ478" i="26"/>
  <c r="AR478" i="26"/>
  <c r="AS478" i="26"/>
  <c r="AT478" i="26"/>
  <c r="AU478" i="26"/>
  <c r="AV478" i="26"/>
  <c r="AW478" i="26"/>
  <c r="AX478" i="26"/>
  <c r="AY478" i="26"/>
  <c r="AZ478" i="26"/>
  <c r="BA478" i="26"/>
  <c r="BB478" i="26"/>
  <c r="BC478" i="26"/>
  <c r="BD478" i="26"/>
  <c r="BE478" i="26"/>
  <c r="BF478" i="26"/>
  <c r="BG478" i="26"/>
  <c r="H479" i="26"/>
  <c r="I479" i="26"/>
  <c r="J479" i="26"/>
  <c r="K479" i="26"/>
  <c r="L479" i="26"/>
  <c r="M479" i="26"/>
  <c r="N479" i="26"/>
  <c r="O479" i="26"/>
  <c r="P479" i="26"/>
  <c r="Q479" i="26"/>
  <c r="R479" i="26"/>
  <c r="S479" i="26"/>
  <c r="T479" i="26"/>
  <c r="U479" i="26"/>
  <c r="V479" i="26"/>
  <c r="W479" i="26"/>
  <c r="X479" i="26"/>
  <c r="Y479" i="26"/>
  <c r="Z479" i="26"/>
  <c r="AA479" i="26"/>
  <c r="AB479" i="26"/>
  <c r="AC479" i="26"/>
  <c r="AD479" i="26"/>
  <c r="AE479" i="26"/>
  <c r="AF479" i="26"/>
  <c r="AG479" i="26"/>
  <c r="AH479" i="26"/>
  <c r="AI479" i="26"/>
  <c r="AJ479" i="26"/>
  <c r="AK479" i="26"/>
  <c r="AL479" i="26"/>
  <c r="AM479" i="26"/>
  <c r="AN479" i="26"/>
  <c r="AO479" i="26"/>
  <c r="AP479" i="26"/>
  <c r="AQ479" i="26"/>
  <c r="AR479" i="26"/>
  <c r="AS479" i="26"/>
  <c r="AT479" i="26"/>
  <c r="AU479" i="26"/>
  <c r="AV479" i="26"/>
  <c r="AW479" i="26"/>
  <c r="AX479" i="26"/>
  <c r="AY479" i="26"/>
  <c r="AZ479" i="26"/>
  <c r="BA479" i="26"/>
  <c r="BB479" i="26"/>
  <c r="BC479" i="26"/>
  <c r="BD479" i="26"/>
  <c r="BE479" i="26"/>
  <c r="BF479" i="26"/>
  <c r="BG479" i="26"/>
  <c r="H480" i="26"/>
  <c r="I480" i="26"/>
  <c r="J480" i="26"/>
  <c r="K480" i="26"/>
  <c r="L480" i="26"/>
  <c r="M480" i="26"/>
  <c r="N480" i="26"/>
  <c r="O480" i="26"/>
  <c r="P480" i="26"/>
  <c r="Q480" i="26"/>
  <c r="R480" i="26"/>
  <c r="S480" i="26"/>
  <c r="T480" i="26"/>
  <c r="U480" i="26"/>
  <c r="V480" i="26"/>
  <c r="W480" i="26"/>
  <c r="X480" i="26"/>
  <c r="Y480" i="26"/>
  <c r="Z480" i="26"/>
  <c r="AA480" i="26"/>
  <c r="AB480" i="26"/>
  <c r="AC480" i="26"/>
  <c r="AD480" i="26"/>
  <c r="AE480" i="26"/>
  <c r="AF480" i="26"/>
  <c r="AG480" i="26"/>
  <c r="AH480" i="26"/>
  <c r="AI480" i="26"/>
  <c r="AJ480" i="26"/>
  <c r="AK480" i="26"/>
  <c r="AL480" i="26"/>
  <c r="AM480" i="26"/>
  <c r="AN480" i="26"/>
  <c r="AO480" i="26"/>
  <c r="AP480" i="26"/>
  <c r="AQ480" i="26"/>
  <c r="AR480" i="26"/>
  <c r="AS480" i="26"/>
  <c r="AT480" i="26"/>
  <c r="AU480" i="26"/>
  <c r="AV480" i="26"/>
  <c r="AW480" i="26"/>
  <c r="AX480" i="26"/>
  <c r="AY480" i="26"/>
  <c r="AZ480" i="26"/>
  <c r="BA480" i="26"/>
  <c r="BB480" i="26"/>
  <c r="BC480" i="26"/>
  <c r="BD480" i="26"/>
  <c r="BE480" i="26"/>
  <c r="BF480" i="26"/>
  <c r="BG480" i="26"/>
  <c r="H481" i="26"/>
  <c r="I481" i="26"/>
  <c r="J481" i="26"/>
  <c r="K481" i="26"/>
  <c r="L481" i="26"/>
  <c r="M481" i="26"/>
  <c r="N481" i="26"/>
  <c r="O481" i="26"/>
  <c r="P481" i="26"/>
  <c r="Q481" i="26"/>
  <c r="R481" i="26"/>
  <c r="S481" i="26"/>
  <c r="T481" i="26"/>
  <c r="U481" i="26"/>
  <c r="V481" i="26"/>
  <c r="W481" i="26"/>
  <c r="X481" i="26"/>
  <c r="Y481" i="26"/>
  <c r="Z481" i="26"/>
  <c r="AA481" i="26"/>
  <c r="AB481" i="26"/>
  <c r="AC481" i="26"/>
  <c r="AD481" i="26"/>
  <c r="AE481" i="26"/>
  <c r="AF481" i="26"/>
  <c r="AG481" i="26"/>
  <c r="AH481" i="26"/>
  <c r="AI481" i="26"/>
  <c r="AJ481" i="26"/>
  <c r="AK481" i="26"/>
  <c r="AL481" i="26"/>
  <c r="AM481" i="26"/>
  <c r="AN481" i="26"/>
  <c r="AO481" i="26"/>
  <c r="AP481" i="26"/>
  <c r="AQ481" i="26"/>
  <c r="AR481" i="26"/>
  <c r="AS481" i="26"/>
  <c r="AT481" i="26"/>
  <c r="AU481" i="26"/>
  <c r="AV481" i="26"/>
  <c r="AW481" i="26"/>
  <c r="AX481" i="26"/>
  <c r="AY481" i="26"/>
  <c r="AZ481" i="26"/>
  <c r="BA481" i="26"/>
  <c r="BB481" i="26"/>
  <c r="BC481" i="26"/>
  <c r="BD481" i="26"/>
  <c r="BE481" i="26"/>
  <c r="BF481" i="26"/>
  <c r="BG481" i="26"/>
  <c r="H482" i="26"/>
  <c r="I482" i="26"/>
  <c r="J482" i="26"/>
  <c r="K482" i="26"/>
  <c r="L482" i="26"/>
  <c r="M482" i="26"/>
  <c r="N482" i="26"/>
  <c r="O482" i="26"/>
  <c r="P482" i="26"/>
  <c r="Q482" i="26"/>
  <c r="R482" i="26"/>
  <c r="S482" i="26"/>
  <c r="T482" i="26"/>
  <c r="U482" i="26"/>
  <c r="V482" i="26"/>
  <c r="W482" i="26"/>
  <c r="X482" i="26"/>
  <c r="Y482" i="26"/>
  <c r="Z482" i="26"/>
  <c r="AA482" i="26"/>
  <c r="AB482" i="26"/>
  <c r="AC482" i="26"/>
  <c r="AD482" i="26"/>
  <c r="AE482" i="26"/>
  <c r="AF482" i="26"/>
  <c r="AG482" i="26"/>
  <c r="AH482" i="26"/>
  <c r="AI482" i="26"/>
  <c r="AJ482" i="26"/>
  <c r="AK482" i="26"/>
  <c r="AL482" i="26"/>
  <c r="AM482" i="26"/>
  <c r="AN482" i="26"/>
  <c r="AO482" i="26"/>
  <c r="AP482" i="26"/>
  <c r="AQ482" i="26"/>
  <c r="AR482" i="26"/>
  <c r="AS482" i="26"/>
  <c r="AT482" i="26"/>
  <c r="AU482" i="26"/>
  <c r="AV482" i="26"/>
  <c r="AW482" i="26"/>
  <c r="AX482" i="26"/>
  <c r="AY482" i="26"/>
  <c r="AZ482" i="26"/>
  <c r="BA482" i="26"/>
  <c r="BB482" i="26"/>
  <c r="BC482" i="26"/>
  <c r="BD482" i="26"/>
  <c r="BE482" i="26"/>
  <c r="BF482" i="26"/>
  <c r="BG482" i="26"/>
  <c r="H483" i="26"/>
  <c r="I483" i="26"/>
  <c r="J483" i="26"/>
  <c r="K483" i="26"/>
  <c r="L483" i="26"/>
  <c r="M483" i="26"/>
  <c r="N483" i="26"/>
  <c r="O483" i="26"/>
  <c r="P483" i="26"/>
  <c r="Q483" i="26"/>
  <c r="R483" i="26"/>
  <c r="S483" i="26"/>
  <c r="T483" i="26"/>
  <c r="U483" i="26"/>
  <c r="V483" i="26"/>
  <c r="W483" i="26"/>
  <c r="X483" i="26"/>
  <c r="Y483" i="26"/>
  <c r="Z483" i="26"/>
  <c r="AA483" i="26"/>
  <c r="AB483" i="26"/>
  <c r="AC483" i="26"/>
  <c r="AD483" i="26"/>
  <c r="AE483" i="26"/>
  <c r="AF483" i="26"/>
  <c r="AG483" i="26"/>
  <c r="AH483" i="26"/>
  <c r="AI483" i="26"/>
  <c r="AJ483" i="26"/>
  <c r="AK483" i="26"/>
  <c r="AL483" i="26"/>
  <c r="AM483" i="26"/>
  <c r="AN483" i="26"/>
  <c r="AO483" i="26"/>
  <c r="AP483" i="26"/>
  <c r="AQ483" i="26"/>
  <c r="AR483" i="26"/>
  <c r="AS483" i="26"/>
  <c r="AT483" i="26"/>
  <c r="AU483" i="26"/>
  <c r="AV483" i="26"/>
  <c r="AW483" i="26"/>
  <c r="AX483" i="26"/>
  <c r="AY483" i="26"/>
  <c r="AZ483" i="26"/>
  <c r="BA483" i="26"/>
  <c r="BB483" i="26"/>
  <c r="BC483" i="26"/>
  <c r="BD483" i="26"/>
  <c r="BE483" i="26"/>
  <c r="BF483" i="26"/>
  <c r="BG483" i="26"/>
  <c r="H484" i="26"/>
  <c r="I484" i="26"/>
  <c r="J484" i="26"/>
  <c r="K484" i="26"/>
  <c r="L484" i="26"/>
  <c r="M484" i="26"/>
  <c r="N484" i="26"/>
  <c r="O484" i="26"/>
  <c r="P484" i="26"/>
  <c r="Q484" i="26"/>
  <c r="R484" i="26"/>
  <c r="S484" i="26"/>
  <c r="T484" i="26"/>
  <c r="U484" i="26"/>
  <c r="V484" i="26"/>
  <c r="W484" i="26"/>
  <c r="X484" i="26"/>
  <c r="Y484" i="26"/>
  <c r="Z484" i="26"/>
  <c r="AA484" i="26"/>
  <c r="AB484" i="26"/>
  <c r="AC484" i="26"/>
  <c r="AD484" i="26"/>
  <c r="AE484" i="26"/>
  <c r="AF484" i="26"/>
  <c r="AG484" i="26"/>
  <c r="AH484" i="26"/>
  <c r="AI484" i="26"/>
  <c r="AJ484" i="26"/>
  <c r="AK484" i="26"/>
  <c r="AL484" i="26"/>
  <c r="AM484" i="26"/>
  <c r="AN484" i="26"/>
  <c r="AO484" i="26"/>
  <c r="AP484" i="26"/>
  <c r="AQ484" i="26"/>
  <c r="AR484" i="26"/>
  <c r="AS484" i="26"/>
  <c r="AT484" i="26"/>
  <c r="AU484" i="26"/>
  <c r="AV484" i="26"/>
  <c r="AW484" i="26"/>
  <c r="AX484" i="26"/>
  <c r="AY484" i="26"/>
  <c r="AZ484" i="26"/>
  <c r="BA484" i="26"/>
  <c r="BB484" i="26"/>
  <c r="BC484" i="26"/>
  <c r="BD484" i="26"/>
  <c r="BE484" i="26"/>
  <c r="BF484" i="26"/>
  <c r="BG484" i="26"/>
  <c r="H485" i="26"/>
  <c r="I485" i="26"/>
  <c r="J485" i="26"/>
  <c r="K485" i="26"/>
  <c r="L485" i="26"/>
  <c r="M485" i="26"/>
  <c r="N485" i="26"/>
  <c r="O485" i="26"/>
  <c r="P485" i="26"/>
  <c r="Q485" i="26"/>
  <c r="R485" i="26"/>
  <c r="S485" i="26"/>
  <c r="T485" i="26"/>
  <c r="U485" i="26"/>
  <c r="V485" i="26"/>
  <c r="W485" i="26"/>
  <c r="X485" i="26"/>
  <c r="Y485" i="26"/>
  <c r="Z485" i="26"/>
  <c r="AA485" i="26"/>
  <c r="AB485" i="26"/>
  <c r="AC485" i="26"/>
  <c r="AD485" i="26"/>
  <c r="AE485" i="26"/>
  <c r="AF485" i="26"/>
  <c r="AG485" i="26"/>
  <c r="AH485" i="26"/>
  <c r="AI485" i="26"/>
  <c r="AJ485" i="26"/>
  <c r="AK485" i="26"/>
  <c r="AL485" i="26"/>
  <c r="AM485" i="26"/>
  <c r="AN485" i="26"/>
  <c r="AO485" i="26"/>
  <c r="AP485" i="26"/>
  <c r="AQ485" i="26"/>
  <c r="AR485" i="26"/>
  <c r="AS485" i="26"/>
  <c r="AT485" i="26"/>
  <c r="AU485" i="26"/>
  <c r="AV485" i="26"/>
  <c r="AW485" i="26"/>
  <c r="AX485" i="26"/>
  <c r="AY485" i="26"/>
  <c r="AZ485" i="26"/>
  <c r="BA485" i="26"/>
  <c r="BB485" i="26"/>
  <c r="BC485" i="26"/>
  <c r="BD485" i="26"/>
  <c r="BE485" i="26"/>
  <c r="BF485" i="26"/>
  <c r="BG485" i="26"/>
  <c r="H486" i="26"/>
  <c r="I486" i="26"/>
  <c r="J486" i="26"/>
  <c r="K486" i="26"/>
  <c r="L486" i="26"/>
  <c r="M486" i="26"/>
  <c r="N486" i="26"/>
  <c r="O486" i="26"/>
  <c r="P486" i="26"/>
  <c r="Q486" i="26"/>
  <c r="R486" i="26"/>
  <c r="S486" i="26"/>
  <c r="T486" i="26"/>
  <c r="U486" i="26"/>
  <c r="V486" i="26"/>
  <c r="W486" i="26"/>
  <c r="X486" i="26"/>
  <c r="Y486" i="26"/>
  <c r="Z486" i="26"/>
  <c r="AA486" i="26"/>
  <c r="AB486" i="26"/>
  <c r="AC486" i="26"/>
  <c r="AD486" i="26"/>
  <c r="AE486" i="26"/>
  <c r="AF486" i="26"/>
  <c r="AG486" i="26"/>
  <c r="AH486" i="26"/>
  <c r="AI486" i="26"/>
  <c r="AJ486" i="26"/>
  <c r="AK486" i="26"/>
  <c r="AL486" i="26"/>
  <c r="AM486" i="26"/>
  <c r="AN486" i="26"/>
  <c r="AO486" i="26"/>
  <c r="AP486" i="26"/>
  <c r="AQ486" i="26"/>
  <c r="AR486" i="26"/>
  <c r="AS486" i="26"/>
  <c r="AT486" i="26"/>
  <c r="AU486" i="26"/>
  <c r="AV486" i="26"/>
  <c r="AW486" i="26"/>
  <c r="AX486" i="26"/>
  <c r="AY486" i="26"/>
  <c r="AZ486" i="26"/>
  <c r="BA486" i="26"/>
  <c r="BB486" i="26"/>
  <c r="BC486" i="26"/>
  <c r="BD486" i="26"/>
  <c r="BE486" i="26"/>
  <c r="BF486" i="26"/>
  <c r="BG486" i="26"/>
  <c r="H487" i="26"/>
  <c r="I487" i="26"/>
  <c r="J487" i="26"/>
  <c r="K487" i="26"/>
  <c r="L487" i="26"/>
  <c r="M487" i="26"/>
  <c r="N487" i="26"/>
  <c r="O487" i="26"/>
  <c r="P487" i="26"/>
  <c r="Q487" i="26"/>
  <c r="R487" i="26"/>
  <c r="S487" i="26"/>
  <c r="T487" i="26"/>
  <c r="U487" i="26"/>
  <c r="V487" i="26"/>
  <c r="W487" i="26"/>
  <c r="X487" i="26"/>
  <c r="Y487" i="26"/>
  <c r="Z487" i="26"/>
  <c r="AA487" i="26"/>
  <c r="AB487" i="26"/>
  <c r="AC487" i="26"/>
  <c r="AD487" i="26"/>
  <c r="AE487" i="26"/>
  <c r="AF487" i="26"/>
  <c r="AG487" i="26"/>
  <c r="AH487" i="26"/>
  <c r="AI487" i="26"/>
  <c r="AJ487" i="26"/>
  <c r="AK487" i="26"/>
  <c r="AL487" i="26"/>
  <c r="AM487" i="26"/>
  <c r="AN487" i="26"/>
  <c r="AO487" i="26"/>
  <c r="AP487" i="26"/>
  <c r="AQ487" i="26"/>
  <c r="AR487" i="26"/>
  <c r="AS487" i="26"/>
  <c r="AT487" i="26"/>
  <c r="AU487" i="26"/>
  <c r="AV487" i="26"/>
  <c r="AW487" i="26"/>
  <c r="AX487" i="26"/>
  <c r="AY487" i="26"/>
  <c r="AZ487" i="26"/>
  <c r="BA487" i="26"/>
  <c r="BB487" i="26"/>
  <c r="BC487" i="26"/>
  <c r="BD487" i="26"/>
  <c r="BE487" i="26"/>
  <c r="BF487" i="26"/>
  <c r="BG487" i="26"/>
  <c r="H488" i="26"/>
  <c r="I488" i="26"/>
  <c r="J488" i="26"/>
  <c r="K488" i="26"/>
  <c r="L488" i="26"/>
  <c r="M488" i="26"/>
  <c r="N488" i="26"/>
  <c r="O488" i="26"/>
  <c r="P488" i="26"/>
  <c r="Q488" i="26"/>
  <c r="R488" i="26"/>
  <c r="S488" i="26"/>
  <c r="T488" i="26"/>
  <c r="U488" i="26"/>
  <c r="V488" i="26"/>
  <c r="W488" i="26"/>
  <c r="X488" i="26"/>
  <c r="Y488" i="26"/>
  <c r="Z488" i="26"/>
  <c r="AA488" i="26"/>
  <c r="AB488" i="26"/>
  <c r="AC488" i="26"/>
  <c r="AD488" i="26"/>
  <c r="AE488" i="26"/>
  <c r="AF488" i="26"/>
  <c r="AG488" i="26"/>
  <c r="AH488" i="26"/>
  <c r="AI488" i="26"/>
  <c r="AJ488" i="26"/>
  <c r="AK488" i="26"/>
  <c r="AL488" i="26"/>
  <c r="AM488" i="26"/>
  <c r="AN488" i="26"/>
  <c r="AO488" i="26"/>
  <c r="AP488" i="26"/>
  <c r="AQ488" i="26"/>
  <c r="AR488" i="26"/>
  <c r="AS488" i="26"/>
  <c r="AT488" i="26"/>
  <c r="AU488" i="26"/>
  <c r="AV488" i="26"/>
  <c r="AW488" i="26"/>
  <c r="AX488" i="26"/>
  <c r="AY488" i="26"/>
  <c r="AZ488" i="26"/>
  <c r="BA488" i="26"/>
  <c r="BB488" i="26"/>
  <c r="BC488" i="26"/>
  <c r="BD488" i="26"/>
  <c r="BE488" i="26"/>
  <c r="BF488" i="26"/>
  <c r="BG488" i="26"/>
  <c r="H489" i="26"/>
  <c r="I489" i="26"/>
  <c r="J489" i="26"/>
  <c r="K489" i="26"/>
  <c r="L489" i="26"/>
  <c r="M489" i="26"/>
  <c r="N489" i="26"/>
  <c r="O489" i="26"/>
  <c r="P489" i="26"/>
  <c r="Q489" i="26"/>
  <c r="R489" i="26"/>
  <c r="S489" i="26"/>
  <c r="T489" i="26"/>
  <c r="U489" i="26"/>
  <c r="V489" i="26"/>
  <c r="W489" i="26"/>
  <c r="X489" i="26"/>
  <c r="Y489" i="26"/>
  <c r="Z489" i="26"/>
  <c r="AA489" i="26"/>
  <c r="AB489" i="26"/>
  <c r="AC489" i="26"/>
  <c r="AD489" i="26"/>
  <c r="AE489" i="26"/>
  <c r="AF489" i="26"/>
  <c r="AG489" i="26"/>
  <c r="AH489" i="26"/>
  <c r="AI489" i="26"/>
  <c r="AJ489" i="26"/>
  <c r="AK489" i="26"/>
  <c r="AL489" i="26"/>
  <c r="AM489" i="26"/>
  <c r="AN489" i="26"/>
  <c r="AO489" i="26"/>
  <c r="AP489" i="26"/>
  <c r="AQ489" i="26"/>
  <c r="AR489" i="26"/>
  <c r="AS489" i="26"/>
  <c r="AT489" i="26"/>
  <c r="AU489" i="26"/>
  <c r="AV489" i="26"/>
  <c r="AW489" i="26"/>
  <c r="AX489" i="26"/>
  <c r="AY489" i="26"/>
  <c r="AZ489" i="26"/>
  <c r="BA489" i="26"/>
  <c r="BB489" i="26"/>
  <c r="BC489" i="26"/>
  <c r="BD489" i="26"/>
  <c r="BE489" i="26"/>
  <c r="BF489" i="26"/>
  <c r="BG489" i="26"/>
  <c r="H490" i="26"/>
  <c r="I490" i="26"/>
  <c r="J490" i="26"/>
  <c r="K490" i="26"/>
  <c r="L490" i="26"/>
  <c r="M490" i="26"/>
  <c r="N490" i="26"/>
  <c r="O490" i="26"/>
  <c r="P490" i="26"/>
  <c r="Q490" i="26"/>
  <c r="R490" i="26"/>
  <c r="S490" i="26"/>
  <c r="T490" i="26"/>
  <c r="U490" i="26"/>
  <c r="V490" i="26"/>
  <c r="W490" i="26"/>
  <c r="X490" i="26"/>
  <c r="Y490" i="26"/>
  <c r="Z490" i="26"/>
  <c r="AA490" i="26"/>
  <c r="AB490" i="26"/>
  <c r="AC490" i="26"/>
  <c r="AD490" i="26"/>
  <c r="AE490" i="26"/>
  <c r="AF490" i="26"/>
  <c r="AG490" i="26"/>
  <c r="AH490" i="26"/>
  <c r="AI490" i="26"/>
  <c r="AJ490" i="26"/>
  <c r="AK490" i="26"/>
  <c r="AL490" i="26"/>
  <c r="AM490" i="26"/>
  <c r="AN490" i="26"/>
  <c r="AO490" i="26"/>
  <c r="AP490" i="26"/>
  <c r="AQ490" i="26"/>
  <c r="AR490" i="26"/>
  <c r="AS490" i="26"/>
  <c r="AT490" i="26"/>
  <c r="AU490" i="26"/>
  <c r="AV490" i="26"/>
  <c r="AW490" i="26"/>
  <c r="AX490" i="26"/>
  <c r="AY490" i="26"/>
  <c r="AZ490" i="26"/>
  <c r="BA490" i="26"/>
  <c r="BB490" i="26"/>
  <c r="BC490" i="26"/>
  <c r="BD490" i="26"/>
  <c r="BE490" i="26"/>
  <c r="BF490" i="26"/>
  <c r="BG490" i="26"/>
  <c r="H491" i="26"/>
  <c r="I491" i="26"/>
  <c r="J491" i="26"/>
  <c r="K491" i="26"/>
  <c r="L491" i="26"/>
  <c r="M491" i="26"/>
  <c r="N491" i="26"/>
  <c r="O491" i="26"/>
  <c r="P491" i="26"/>
  <c r="Q491" i="26"/>
  <c r="R491" i="26"/>
  <c r="S491" i="26"/>
  <c r="T491" i="26"/>
  <c r="U491" i="26"/>
  <c r="V491" i="26"/>
  <c r="W491" i="26"/>
  <c r="X491" i="26"/>
  <c r="Y491" i="26"/>
  <c r="Z491" i="26"/>
  <c r="AA491" i="26"/>
  <c r="AB491" i="26"/>
  <c r="AC491" i="26"/>
  <c r="AD491" i="26"/>
  <c r="AE491" i="26"/>
  <c r="AF491" i="26"/>
  <c r="AG491" i="26"/>
  <c r="AH491" i="26"/>
  <c r="AI491" i="26"/>
  <c r="AJ491" i="26"/>
  <c r="AK491" i="26"/>
  <c r="AL491" i="26"/>
  <c r="AM491" i="26"/>
  <c r="AN491" i="26"/>
  <c r="AO491" i="26"/>
  <c r="AP491" i="26"/>
  <c r="AQ491" i="26"/>
  <c r="AR491" i="26"/>
  <c r="AS491" i="26"/>
  <c r="AT491" i="26"/>
  <c r="AU491" i="26"/>
  <c r="AV491" i="26"/>
  <c r="AW491" i="26"/>
  <c r="AX491" i="26"/>
  <c r="AY491" i="26"/>
  <c r="AZ491" i="26"/>
  <c r="BA491" i="26"/>
  <c r="BB491" i="26"/>
  <c r="BC491" i="26"/>
  <c r="BD491" i="26"/>
  <c r="BE491" i="26"/>
  <c r="BF491" i="26"/>
  <c r="BG491" i="26"/>
  <c r="H492" i="26"/>
  <c r="I492" i="26"/>
  <c r="J492" i="26"/>
  <c r="K492" i="26"/>
  <c r="L492" i="26"/>
  <c r="M492" i="26"/>
  <c r="N492" i="26"/>
  <c r="O492" i="26"/>
  <c r="P492" i="26"/>
  <c r="Q492" i="26"/>
  <c r="R492" i="26"/>
  <c r="S492" i="26"/>
  <c r="T492" i="26"/>
  <c r="U492" i="26"/>
  <c r="V492" i="26"/>
  <c r="W492" i="26"/>
  <c r="X492" i="26"/>
  <c r="Y492" i="26"/>
  <c r="Z492" i="26"/>
  <c r="AA492" i="26"/>
  <c r="AB492" i="26"/>
  <c r="AC492" i="26"/>
  <c r="AD492" i="26"/>
  <c r="AE492" i="26"/>
  <c r="AF492" i="26"/>
  <c r="AG492" i="26"/>
  <c r="AH492" i="26"/>
  <c r="AI492" i="26"/>
  <c r="AJ492" i="26"/>
  <c r="AK492" i="26"/>
  <c r="AL492" i="26"/>
  <c r="AM492" i="26"/>
  <c r="AN492" i="26"/>
  <c r="AO492" i="26"/>
  <c r="AP492" i="26"/>
  <c r="AQ492" i="26"/>
  <c r="AR492" i="26"/>
  <c r="AS492" i="26"/>
  <c r="AT492" i="26"/>
  <c r="AU492" i="26"/>
  <c r="AV492" i="26"/>
  <c r="AW492" i="26"/>
  <c r="AX492" i="26"/>
  <c r="AY492" i="26"/>
  <c r="AZ492" i="26"/>
  <c r="BA492" i="26"/>
  <c r="BB492" i="26"/>
  <c r="BC492" i="26"/>
  <c r="BD492" i="26"/>
  <c r="BE492" i="26"/>
  <c r="BF492" i="26"/>
  <c r="BG492" i="26"/>
  <c r="H493" i="26"/>
  <c r="I493" i="26"/>
  <c r="J493" i="26"/>
  <c r="K493" i="26"/>
  <c r="L493" i="26"/>
  <c r="M493" i="26"/>
  <c r="N493" i="26"/>
  <c r="O493" i="26"/>
  <c r="P493" i="26"/>
  <c r="Q493" i="26"/>
  <c r="R493" i="26"/>
  <c r="S493" i="26"/>
  <c r="T493" i="26"/>
  <c r="U493" i="26"/>
  <c r="V493" i="26"/>
  <c r="W493" i="26"/>
  <c r="X493" i="26"/>
  <c r="Y493" i="26"/>
  <c r="Z493" i="26"/>
  <c r="AA493" i="26"/>
  <c r="AB493" i="26"/>
  <c r="AC493" i="26"/>
  <c r="AD493" i="26"/>
  <c r="AE493" i="26"/>
  <c r="AF493" i="26"/>
  <c r="AG493" i="26"/>
  <c r="AH493" i="26"/>
  <c r="AI493" i="26"/>
  <c r="AJ493" i="26"/>
  <c r="AK493" i="26"/>
  <c r="AL493" i="26"/>
  <c r="AM493" i="26"/>
  <c r="AN493" i="26"/>
  <c r="AO493" i="26"/>
  <c r="AP493" i="26"/>
  <c r="AQ493" i="26"/>
  <c r="AR493" i="26"/>
  <c r="AS493" i="26"/>
  <c r="AT493" i="26"/>
  <c r="AU493" i="26"/>
  <c r="AV493" i="26"/>
  <c r="AW493" i="26"/>
  <c r="AX493" i="26"/>
  <c r="AY493" i="26"/>
  <c r="AZ493" i="26"/>
  <c r="BA493" i="26"/>
  <c r="BB493" i="26"/>
  <c r="BC493" i="26"/>
  <c r="BD493" i="26"/>
  <c r="BE493" i="26"/>
  <c r="BF493" i="26"/>
  <c r="BG493" i="26"/>
  <c r="H494" i="26"/>
  <c r="I494" i="26"/>
  <c r="J494" i="26"/>
  <c r="K494" i="26"/>
  <c r="L494" i="26"/>
  <c r="M494" i="26"/>
  <c r="N494" i="26"/>
  <c r="O494" i="26"/>
  <c r="P494" i="26"/>
  <c r="Q494" i="26"/>
  <c r="R494" i="26"/>
  <c r="S494" i="26"/>
  <c r="T494" i="26"/>
  <c r="U494" i="26"/>
  <c r="V494" i="26"/>
  <c r="W494" i="26"/>
  <c r="X494" i="26"/>
  <c r="Y494" i="26"/>
  <c r="Z494" i="26"/>
  <c r="AA494" i="26"/>
  <c r="AB494" i="26"/>
  <c r="AC494" i="26"/>
  <c r="AD494" i="26"/>
  <c r="AE494" i="26"/>
  <c r="AF494" i="26"/>
  <c r="AG494" i="26"/>
  <c r="AH494" i="26"/>
  <c r="AI494" i="26"/>
  <c r="AJ494" i="26"/>
  <c r="AK494" i="26"/>
  <c r="AL494" i="26"/>
  <c r="AM494" i="26"/>
  <c r="AN494" i="26"/>
  <c r="AO494" i="26"/>
  <c r="AP494" i="26"/>
  <c r="AQ494" i="26"/>
  <c r="AR494" i="26"/>
  <c r="AS494" i="26"/>
  <c r="AT494" i="26"/>
  <c r="AU494" i="26"/>
  <c r="AV494" i="26"/>
  <c r="AW494" i="26"/>
  <c r="AX494" i="26"/>
  <c r="AY494" i="26"/>
  <c r="AZ494" i="26"/>
  <c r="BA494" i="26"/>
  <c r="BB494" i="26"/>
  <c r="BC494" i="26"/>
  <c r="BD494" i="26"/>
  <c r="BE494" i="26"/>
  <c r="BF494" i="26"/>
  <c r="BG494" i="26"/>
  <c r="H495" i="26"/>
  <c r="I495" i="26"/>
  <c r="J495" i="26"/>
  <c r="K495" i="26"/>
  <c r="L495" i="26"/>
  <c r="M495" i="26"/>
  <c r="N495" i="26"/>
  <c r="O495" i="26"/>
  <c r="P495" i="26"/>
  <c r="Q495" i="26"/>
  <c r="R495" i="26"/>
  <c r="S495" i="26"/>
  <c r="T495" i="26"/>
  <c r="U495" i="26"/>
  <c r="V495" i="26"/>
  <c r="W495" i="26"/>
  <c r="X495" i="26"/>
  <c r="Y495" i="26"/>
  <c r="Z495" i="26"/>
  <c r="AA495" i="26"/>
  <c r="AB495" i="26"/>
  <c r="AC495" i="26"/>
  <c r="AD495" i="26"/>
  <c r="AE495" i="26"/>
  <c r="AF495" i="26"/>
  <c r="AG495" i="26"/>
  <c r="AH495" i="26"/>
  <c r="AI495" i="26"/>
  <c r="AJ495" i="26"/>
  <c r="AK495" i="26"/>
  <c r="AL495" i="26"/>
  <c r="AM495" i="26"/>
  <c r="AN495" i="26"/>
  <c r="AO495" i="26"/>
  <c r="AP495" i="26"/>
  <c r="AQ495" i="26"/>
  <c r="AR495" i="26"/>
  <c r="AS495" i="26"/>
  <c r="AT495" i="26"/>
  <c r="AU495" i="26"/>
  <c r="AV495" i="26"/>
  <c r="AW495" i="26"/>
  <c r="AX495" i="26"/>
  <c r="AY495" i="26"/>
  <c r="AZ495" i="26"/>
  <c r="BA495" i="26"/>
  <c r="BB495" i="26"/>
  <c r="BC495" i="26"/>
  <c r="BD495" i="26"/>
  <c r="BE495" i="26"/>
  <c r="BF495" i="26"/>
  <c r="BG495" i="26"/>
  <c r="H496" i="26"/>
  <c r="I496" i="26"/>
  <c r="J496" i="26"/>
  <c r="K496" i="26"/>
  <c r="L496" i="26"/>
  <c r="M496" i="26"/>
  <c r="N496" i="26"/>
  <c r="O496" i="26"/>
  <c r="P496" i="26"/>
  <c r="Q496" i="26"/>
  <c r="R496" i="26"/>
  <c r="S496" i="26"/>
  <c r="T496" i="26"/>
  <c r="U496" i="26"/>
  <c r="V496" i="26"/>
  <c r="W496" i="26"/>
  <c r="X496" i="26"/>
  <c r="Y496" i="26"/>
  <c r="Z496" i="26"/>
  <c r="AA496" i="26"/>
  <c r="AB496" i="26"/>
  <c r="AC496" i="26"/>
  <c r="AD496" i="26"/>
  <c r="AE496" i="26"/>
  <c r="AF496" i="26"/>
  <c r="AG496" i="26"/>
  <c r="AH496" i="26"/>
  <c r="AI496" i="26"/>
  <c r="AJ496" i="26"/>
  <c r="AK496" i="26"/>
  <c r="AL496" i="26"/>
  <c r="AM496" i="26"/>
  <c r="AN496" i="26"/>
  <c r="AO496" i="26"/>
  <c r="AP496" i="26"/>
  <c r="AQ496" i="26"/>
  <c r="AR496" i="26"/>
  <c r="AS496" i="26"/>
  <c r="AT496" i="26"/>
  <c r="AU496" i="26"/>
  <c r="AV496" i="26"/>
  <c r="AW496" i="26"/>
  <c r="AX496" i="26"/>
  <c r="AY496" i="26"/>
  <c r="AZ496" i="26"/>
  <c r="BA496" i="26"/>
  <c r="BB496" i="26"/>
  <c r="BC496" i="26"/>
  <c r="BD496" i="26"/>
  <c r="BE496" i="26"/>
  <c r="BF496" i="26"/>
  <c r="BG496" i="26"/>
  <c r="H497" i="26"/>
  <c r="I497" i="26"/>
  <c r="J497" i="26"/>
  <c r="K497" i="26"/>
  <c r="L497" i="26"/>
  <c r="M497" i="26"/>
  <c r="N497" i="26"/>
  <c r="O497" i="26"/>
  <c r="P497" i="26"/>
  <c r="Q497" i="26"/>
  <c r="R497" i="26"/>
  <c r="S497" i="26"/>
  <c r="T497" i="26"/>
  <c r="U497" i="26"/>
  <c r="V497" i="26"/>
  <c r="W497" i="26"/>
  <c r="X497" i="26"/>
  <c r="Y497" i="26"/>
  <c r="Z497" i="26"/>
  <c r="AA497" i="26"/>
  <c r="AB497" i="26"/>
  <c r="AC497" i="26"/>
  <c r="AD497" i="26"/>
  <c r="AE497" i="26"/>
  <c r="AF497" i="26"/>
  <c r="AG497" i="26"/>
  <c r="AH497" i="26"/>
  <c r="AI497" i="26"/>
  <c r="AJ497" i="26"/>
  <c r="AK497" i="26"/>
  <c r="AL497" i="26"/>
  <c r="AM497" i="26"/>
  <c r="AN497" i="26"/>
  <c r="AO497" i="26"/>
  <c r="AP497" i="26"/>
  <c r="AQ497" i="26"/>
  <c r="AR497" i="26"/>
  <c r="AS497" i="26"/>
  <c r="AT497" i="26"/>
  <c r="AU497" i="26"/>
  <c r="AV497" i="26"/>
  <c r="AW497" i="26"/>
  <c r="AX497" i="26"/>
  <c r="AY497" i="26"/>
  <c r="AZ497" i="26"/>
  <c r="BA497" i="26"/>
  <c r="BB497" i="26"/>
  <c r="BC497" i="26"/>
  <c r="BD497" i="26"/>
  <c r="BE497" i="26"/>
  <c r="BF497" i="26"/>
  <c r="BG497" i="26"/>
  <c r="H498" i="26"/>
  <c r="I498" i="26"/>
  <c r="J498" i="26"/>
  <c r="K498" i="26"/>
  <c r="L498" i="26"/>
  <c r="M498" i="26"/>
  <c r="N498" i="26"/>
  <c r="O498" i="26"/>
  <c r="P498" i="26"/>
  <c r="Q498" i="26"/>
  <c r="R498" i="26"/>
  <c r="S498" i="26"/>
  <c r="T498" i="26"/>
  <c r="U498" i="26"/>
  <c r="V498" i="26"/>
  <c r="W498" i="26"/>
  <c r="X498" i="26"/>
  <c r="Y498" i="26"/>
  <c r="Z498" i="26"/>
  <c r="AA498" i="26"/>
  <c r="AB498" i="26"/>
  <c r="AC498" i="26"/>
  <c r="AD498" i="26"/>
  <c r="AE498" i="26"/>
  <c r="AF498" i="26"/>
  <c r="AG498" i="26"/>
  <c r="AH498" i="26"/>
  <c r="AI498" i="26"/>
  <c r="AJ498" i="26"/>
  <c r="AK498" i="26"/>
  <c r="AL498" i="26"/>
  <c r="AM498" i="26"/>
  <c r="AN498" i="26"/>
  <c r="AO498" i="26"/>
  <c r="AP498" i="26"/>
  <c r="AQ498" i="26"/>
  <c r="AR498" i="26"/>
  <c r="AS498" i="26"/>
  <c r="AT498" i="26"/>
  <c r="AU498" i="26"/>
  <c r="AV498" i="26"/>
  <c r="AW498" i="26"/>
  <c r="AX498" i="26"/>
  <c r="AY498" i="26"/>
  <c r="AZ498" i="26"/>
  <c r="BA498" i="26"/>
  <c r="BB498" i="26"/>
  <c r="BC498" i="26"/>
  <c r="BD498" i="26"/>
  <c r="BE498" i="26"/>
  <c r="BF498" i="26"/>
  <c r="BG498" i="26"/>
  <c r="H499" i="26"/>
  <c r="I499" i="26"/>
  <c r="J499" i="26"/>
  <c r="K499" i="26"/>
  <c r="L499" i="26"/>
  <c r="M499" i="26"/>
  <c r="N499" i="26"/>
  <c r="O499" i="26"/>
  <c r="P499" i="26"/>
  <c r="Q499" i="26"/>
  <c r="R499" i="26"/>
  <c r="S499" i="26"/>
  <c r="T499" i="26"/>
  <c r="U499" i="26"/>
  <c r="V499" i="26"/>
  <c r="W499" i="26"/>
  <c r="X499" i="26"/>
  <c r="Y499" i="26"/>
  <c r="Z499" i="26"/>
  <c r="AA499" i="26"/>
  <c r="AB499" i="26"/>
  <c r="AC499" i="26"/>
  <c r="AD499" i="26"/>
  <c r="AE499" i="26"/>
  <c r="AF499" i="26"/>
  <c r="AG499" i="26"/>
  <c r="AH499" i="26"/>
  <c r="AI499" i="26"/>
  <c r="AJ499" i="26"/>
  <c r="AK499" i="26"/>
  <c r="AL499" i="26"/>
  <c r="AM499" i="26"/>
  <c r="AN499" i="26"/>
  <c r="AO499" i="26"/>
  <c r="AP499" i="26"/>
  <c r="AQ499" i="26"/>
  <c r="AR499" i="26"/>
  <c r="AS499" i="26"/>
  <c r="AT499" i="26"/>
  <c r="AU499" i="26"/>
  <c r="AV499" i="26"/>
  <c r="AW499" i="26"/>
  <c r="AX499" i="26"/>
  <c r="AY499" i="26"/>
  <c r="AZ499" i="26"/>
  <c r="BA499" i="26"/>
  <c r="BB499" i="26"/>
  <c r="BC499" i="26"/>
  <c r="BD499" i="26"/>
  <c r="BE499" i="26"/>
  <c r="BF499" i="26"/>
  <c r="BG499" i="26"/>
  <c r="H500" i="26"/>
  <c r="I500" i="26"/>
  <c r="J500" i="26"/>
  <c r="K500" i="26"/>
  <c r="L500" i="26"/>
  <c r="M500" i="26"/>
  <c r="N500" i="26"/>
  <c r="O500" i="26"/>
  <c r="P500" i="26"/>
  <c r="Q500" i="26"/>
  <c r="R500" i="26"/>
  <c r="S500" i="26"/>
  <c r="T500" i="26"/>
  <c r="U500" i="26"/>
  <c r="V500" i="26"/>
  <c r="W500" i="26"/>
  <c r="X500" i="26"/>
  <c r="Y500" i="26"/>
  <c r="Z500" i="26"/>
  <c r="AA500" i="26"/>
  <c r="AB500" i="26"/>
  <c r="AC500" i="26"/>
  <c r="AD500" i="26"/>
  <c r="AE500" i="26"/>
  <c r="AF500" i="26"/>
  <c r="AG500" i="26"/>
  <c r="AH500" i="26"/>
  <c r="AI500" i="26"/>
  <c r="AJ500" i="26"/>
  <c r="AK500" i="26"/>
  <c r="AL500" i="26"/>
  <c r="AM500" i="26"/>
  <c r="AN500" i="26"/>
  <c r="AO500" i="26"/>
  <c r="AP500" i="26"/>
  <c r="AQ500" i="26"/>
  <c r="AR500" i="26"/>
  <c r="AS500" i="26"/>
  <c r="AT500" i="26"/>
  <c r="AU500" i="26"/>
  <c r="AV500" i="26"/>
  <c r="AW500" i="26"/>
  <c r="AX500" i="26"/>
  <c r="AY500" i="26"/>
  <c r="AZ500" i="26"/>
  <c r="BA500" i="26"/>
  <c r="BB500" i="26"/>
  <c r="BC500" i="26"/>
  <c r="BD500" i="26"/>
  <c r="BE500" i="26"/>
  <c r="BF500" i="26"/>
  <c r="BG500" i="26"/>
  <c r="H501" i="26"/>
  <c r="I501" i="26"/>
  <c r="J501" i="26"/>
  <c r="K501" i="26"/>
  <c r="L501" i="26"/>
  <c r="M501" i="26"/>
  <c r="N501" i="26"/>
  <c r="O501" i="26"/>
  <c r="P501" i="26"/>
  <c r="Q501" i="26"/>
  <c r="R501" i="26"/>
  <c r="S501" i="26"/>
  <c r="T501" i="26"/>
  <c r="U501" i="26"/>
  <c r="V501" i="26"/>
  <c r="W501" i="26"/>
  <c r="X501" i="26"/>
  <c r="Y501" i="26"/>
  <c r="Z501" i="26"/>
  <c r="AA501" i="26"/>
  <c r="AB501" i="26"/>
  <c r="AC501" i="26"/>
  <c r="AD501" i="26"/>
  <c r="AE501" i="26"/>
  <c r="AF501" i="26"/>
  <c r="AG501" i="26"/>
  <c r="AH501" i="26"/>
  <c r="AI501" i="26"/>
  <c r="AJ501" i="26"/>
  <c r="AK501" i="26"/>
  <c r="AL501" i="26"/>
  <c r="AM501" i="26"/>
  <c r="AN501" i="26"/>
  <c r="AO501" i="26"/>
  <c r="AP501" i="26"/>
  <c r="AQ501" i="26"/>
  <c r="AR501" i="26"/>
  <c r="AS501" i="26"/>
  <c r="AT501" i="26"/>
  <c r="AU501" i="26"/>
  <c r="AV501" i="26"/>
  <c r="AW501" i="26"/>
  <c r="AX501" i="26"/>
  <c r="AY501" i="26"/>
  <c r="AZ501" i="26"/>
  <c r="BA501" i="26"/>
  <c r="BB501" i="26"/>
  <c r="BC501" i="26"/>
  <c r="BD501" i="26"/>
  <c r="BE501" i="26"/>
  <c r="BF501" i="26"/>
  <c r="BG501" i="26"/>
  <c r="H502" i="26"/>
  <c r="I502" i="26"/>
  <c r="J502" i="26"/>
  <c r="K502" i="26"/>
  <c r="L502" i="26"/>
  <c r="M502" i="26"/>
  <c r="N502" i="26"/>
  <c r="O502" i="26"/>
  <c r="P502" i="26"/>
  <c r="Q502" i="26"/>
  <c r="R502" i="26"/>
  <c r="S502" i="26"/>
  <c r="T502" i="26"/>
  <c r="U502" i="26"/>
  <c r="V502" i="26"/>
  <c r="W502" i="26"/>
  <c r="X502" i="26"/>
  <c r="Y502" i="26"/>
  <c r="Z502" i="26"/>
  <c r="AA502" i="26"/>
  <c r="AB502" i="26"/>
  <c r="AC502" i="26"/>
  <c r="AD502" i="26"/>
  <c r="AE502" i="26"/>
  <c r="AF502" i="26"/>
  <c r="AG502" i="26"/>
  <c r="AH502" i="26"/>
  <c r="AI502" i="26"/>
  <c r="AJ502" i="26"/>
  <c r="AK502" i="26"/>
  <c r="AL502" i="26"/>
  <c r="AM502" i="26"/>
  <c r="AN502" i="26"/>
  <c r="AO502" i="26"/>
  <c r="AP502" i="26"/>
  <c r="AQ502" i="26"/>
  <c r="AR502" i="26"/>
  <c r="AS502" i="26"/>
  <c r="AT502" i="26"/>
  <c r="AU502" i="26"/>
  <c r="AV502" i="26"/>
  <c r="AW502" i="26"/>
  <c r="AX502" i="26"/>
  <c r="AY502" i="26"/>
  <c r="AZ502" i="26"/>
  <c r="BA502" i="26"/>
  <c r="BB502" i="26"/>
  <c r="BC502" i="26"/>
  <c r="BD502" i="26"/>
  <c r="BE502" i="26"/>
  <c r="BF502" i="26"/>
  <c r="BG502" i="26"/>
  <c r="H503" i="26"/>
  <c r="I503" i="26"/>
  <c r="J503" i="26"/>
  <c r="K503" i="26"/>
  <c r="L503" i="26"/>
  <c r="M503" i="26"/>
  <c r="N503" i="26"/>
  <c r="O503" i="26"/>
  <c r="P503" i="26"/>
  <c r="Q503" i="26"/>
  <c r="R503" i="26"/>
  <c r="S503" i="26"/>
  <c r="T503" i="26"/>
  <c r="U503" i="26"/>
  <c r="V503" i="26"/>
  <c r="W503" i="26"/>
  <c r="X503" i="26"/>
  <c r="Y503" i="26"/>
  <c r="Z503" i="26"/>
  <c r="AA503" i="26"/>
  <c r="AB503" i="26"/>
  <c r="AC503" i="26"/>
  <c r="AD503" i="26"/>
  <c r="AE503" i="26"/>
  <c r="AF503" i="26"/>
  <c r="AG503" i="26"/>
  <c r="AH503" i="26"/>
  <c r="AI503" i="26"/>
  <c r="AJ503" i="26"/>
  <c r="AK503" i="26"/>
  <c r="AL503" i="26"/>
  <c r="AM503" i="26"/>
  <c r="AN503" i="26"/>
  <c r="AO503" i="26"/>
  <c r="AP503" i="26"/>
  <c r="AQ503" i="26"/>
  <c r="AR503" i="26"/>
  <c r="AS503" i="26"/>
  <c r="AT503" i="26"/>
  <c r="AU503" i="26"/>
  <c r="AV503" i="26"/>
  <c r="AW503" i="26"/>
  <c r="AX503" i="26"/>
  <c r="AY503" i="26"/>
  <c r="AZ503" i="26"/>
  <c r="BA503" i="26"/>
  <c r="BB503" i="26"/>
  <c r="BC503" i="26"/>
  <c r="BD503" i="26"/>
  <c r="BE503" i="26"/>
  <c r="BF503" i="26"/>
  <c r="BG503" i="26"/>
  <c r="H504" i="26"/>
  <c r="I504" i="26"/>
  <c r="J504" i="26"/>
  <c r="K504" i="26"/>
  <c r="L504" i="26"/>
  <c r="M504" i="26"/>
  <c r="N504" i="26"/>
  <c r="O504" i="26"/>
  <c r="P504" i="26"/>
  <c r="Q504" i="26"/>
  <c r="R504" i="26"/>
  <c r="S504" i="26"/>
  <c r="T504" i="26"/>
  <c r="U504" i="26"/>
  <c r="V504" i="26"/>
  <c r="W504" i="26"/>
  <c r="X504" i="26"/>
  <c r="Y504" i="26"/>
  <c r="Z504" i="26"/>
  <c r="AA504" i="26"/>
  <c r="AB504" i="26"/>
  <c r="AC504" i="26"/>
  <c r="AD504" i="26"/>
  <c r="AE504" i="26"/>
  <c r="AF504" i="26"/>
  <c r="AG504" i="26"/>
  <c r="AH504" i="26"/>
  <c r="AI504" i="26"/>
  <c r="AJ504" i="26"/>
  <c r="AK504" i="26"/>
  <c r="AL504" i="26"/>
  <c r="AM504" i="26"/>
  <c r="AN504" i="26"/>
  <c r="AO504" i="26"/>
  <c r="AP504" i="26"/>
  <c r="AQ504" i="26"/>
  <c r="AR504" i="26"/>
  <c r="AS504" i="26"/>
  <c r="AT504" i="26"/>
  <c r="AU504" i="26"/>
  <c r="AV504" i="26"/>
  <c r="AW504" i="26"/>
  <c r="AX504" i="26"/>
  <c r="AY504" i="26"/>
  <c r="AZ504" i="26"/>
  <c r="BA504" i="26"/>
  <c r="BB504" i="26"/>
  <c r="BC504" i="26"/>
  <c r="BD504" i="26"/>
  <c r="BE504" i="26"/>
  <c r="BF504" i="26"/>
  <c r="BG504" i="26"/>
  <c r="H505" i="26"/>
  <c r="I505" i="26"/>
  <c r="J505" i="26"/>
  <c r="K505" i="26"/>
  <c r="L505" i="26"/>
  <c r="M505" i="26"/>
  <c r="N505" i="26"/>
  <c r="O505" i="26"/>
  <c r="P505" i="26"/>
  <c r="Q505" i="26"/>
  <c r="R505" i="26"/>
  <c r="S505" i="26"/>
  <c r="T505" i="26"/>
  <c r="U505" i="26"/>
  <c r="V505" i="26"/>
  <c r="W505" i="26"/>
  <c r="X505" i="26"/>
  <c r="Y505" i="26"/>
  <c r="Z505" i="26"/>
  <c r="AA505" i="26"/>
  <c r="AB505" i="26"/>
  <c r="AC505" i="26"/>
  <c r="AD505" i="26"/>
  <c r="AE505" i="26"/>
  <c r="AF505" i="26"/>
  <c r="AG505" i="26"/>
  <c r="AH505" i="26"/>
  <c r="AI505" i="26"/>
  <c r="AJ505" i="26"/>
  <c r="AK505" i="26"/>
  <c r="AL505" i="26"/>
  <c r="AM505" i="26"/>
  <c r="AN505" i="26"/>
  <c r="AO505" i="26"/>
  <c r="AP505" i="26"/>
  <c r="AQ505" i="26"/>
  <c r="AR505" i="26"/>
  <c r="AS505" i="26"/>
  <c r="AT505" i="26"/>
  <c r="AU505" i="26"/>
  <c r="AV505" i="26"/>
  <c r="AW505" i="26"/>
  <c r="AX505" i="26"/>
  <c r="AY505" i="26"/>
  <c r="AZ505" i="26"/>
  <c r="BA505" i="26"/>
  <c r="BB505" i="26"/>
  <c r="BC505" i="26"/>
  <c r="BD505" i="26"/>
  <c r="BE505" i="26"/>
  <c r="BF505" i="26"/>
  <c r="BG505" i="26"/>
  <c r="H506" i="26"/>
  <c r="I506" i="26"/>
  <c r="J506" i="26"/>
  <c r="K506" i="26"/>
  <c r="L506" i="26"/>
  <c r="M506" i="26"/>
  <c r="N506" i="26"/>
  <c r="O506" i="26"/>
  <c r="P506" i="26"/>
  <c r="Q506" i="26"/>
  <c r="R506" i="26"/>
  <c r="S506" i="26"/>
  <c r="T506" i="26"/>
  <c r="U506" i="26"/>
  <c r="V506" i="26"/>
  <c r="W506" i="26"/>
  <c r="X506" i="26"/>
  <c r="Y506" i="26"/>
  <c r="Z506" i="26"/>
  <c r="AA506" i="26"/>
  <c r="AB506" i="26"/>
  <c r="AC506" i="26"/>
  <c r="AD506" i="26"/>
  <c r="AE506" i="26"/>
  <c r="AF506" i="26"/>
  <c r="AG506" i="26"/>
  <c r="AH506" i="26"/>
  <c r="AI506" i="26"/>
  <c r="AJ506" i="26"/>
  <c r="AK506" i="26"/>
  <c r="AL506" i="26"/>
  <c r="AM506" i="26"/>
  <c r="AN506" i="26"/>
  <c r="AO506" i="26"/>
  <c r="AP506" i="26"/>
  <c r="AQ506" i="26"/>
  <c r="AR506" i="26"/>
  <c r="AS506" i="26"/>
  <c r="AT506" i="26"/>
  <c r="AU506" i="26"/>
  <c r="AV506" i="26"/>
  <c r="AW506" i="26"/>
  <c r="AX506" i="26"/>
  <c r="AY506" i="26"/>
  <c r="AZ506" i="26"/>
  <c r="BA506" i="26"/>
  <c r="BB506" i="26"/>
  <c r="BC506" i="26"/>
  <c r="BD506" i="26"/>
  <c r="BE506" i="26"/>
  <c r="BF506" i="26"/>
  <c r="BG506" i="26"/>
  <c r="I14" i="26"/>
  <c r="AH510" i="26"/>
  <c r="L82" i="13"/>
  <c r="L44" i="13"/>
  <c r="I1134" i="19"/>
  <c r="I914" i="19"/>
  <c r="G914" i="19" s="1"/>
  <c r="F871" i="19"/>
  <c r="F523" i="19"/>
  <c r="F526" i="19" s="1"/>
  <c r="E523" i="19"/>
  <c r="F68" i="19"/>
  <c r="E1187" i="19"/>
  <c r="J88" i="11"/>
  <c r="J87" i="11"/>
  <c r="J86" i="11"/>
  <c r="J82" i="11"/>
  <c r="L65" i="11"/>
  <c r="F276" i="19"/>
  <c r="L1167" i="19"/>
  <c r="L1166" i="19"/>
  <c r="L1157" i="19"/>
  <c r="L1142" i="19"/>
  <c r="L1143" i="19"/>
  <c r="L1144" i="19"/>
  <c r="L1145" i="19"/>
  <c r="L1146" i="19"/>
  <c r="L1141" i="19"/>
  <c r="L965" i="19"/>
  <c r="L918" i="19"/>
  <c r="L919" i="19"/>
  <c r="L920" i="19"/>
  <c r="L921" i="19"/>
  <c r="L922" i="19"/>
  <c r="L923" i="19"/>
  <c r="L924" i="19"/>
  <c r="M572" i="19"/>
  <c r="M573" i="19"/>
  <c r="M574" i="19"/>
  <c r="M575" i="19"/>
  <c r="M576" i="19"/>
  <c r="M571" i="19"/>
  <c r="M563" i="19"/>
  <c r="M564" i="19"/>
  <c r="M565" i="19"/>
  <c r="M566" i="19"/>
  <c r="M567" i="19"/>
  <c r="M562" i="19"/>
  <c r="L561" i="19"/>
  <c r="F392" i="19"/>
  <c r="F391" i="19"/>
  <c r="I175" i="19"/>
  <c r="J68" i="11"/>
  <c r="L68" i="11" s="1"/>
  <c r="J96" i="11"/>
  <c r="J95" i="11"/>
  <c r="J92" i="11"/>
  <c r="J91" i="11"/>
  <c r="M81" i="11"/>
  <c r="M80" i="11"/>
  <c r="K81" i="11"/>
  <c r="J81" i="11"/>
  <c r="L81" i="11" s="1"/>
  <c r="K80" i="11"/>
  <c r="J80" i="11"/>
  <c r="L80" i="11" s="1"/>
  <c r="J76" i="11"/>
  <c r="L76" i="11" s="1"/>
  <c r="L77" i="11"/>
  <c r="J73" i="11"/>
  <c r="J72" i="11"/>
  <c r="J71" i="11"/>
  <c r="L67" i="11"/>
  <c r="J67" i="11" s="1"/>
  <c r="L66" i="11"/>
  <c r="J64" i="11"/>
  <c r="L64" i="11" s="1"/>
  <c r="J63" i="11"/>
  <c r="L63" i="11" s="1"/>
  <c r="L59" i="11"/>
  <c r="J59" i="11" s="1"/>
  <c r="L58" i="11"/>
  <c r="J56" i="11"/>
  <c r="J55" i="11"/>
  <c r="L56" i="11" s="1"/>
  <c r="J54" i="11"/>
  <c r="L55" i="11" s="1"/>
  <c r="B56" i="11"/>
  <c r="B55" i="11"/>
  <c r="B54" i="11"/>
  <c r="B53" i="11"/>
  <c r="B52" i="11"/>
  <c r="J53" i="11"/>
  <c r="L54" i="11" s="1"/>
  <c r="J52" i="11"/>
  <c r="L52" i="11" s="1"/>
  <c r="L1223" i="19"/>
  <c r="L1218" i="19" s="1"/>
  <c r="L1222" i="19"/>
  <c r="L1221" i="19"/>
  <c r="F1021" i="19"/>
  <c r="L979" i="19"/>
  <c r="L975" i="19"/>
  <c r="G967" i="19"/>
  <c r="H922" i="19"/>
  <c r="H923" i="19"/>
  <c r="H924" i="19"/>
  <c r="H917" i="19"/>
  <c r="H918" i="19"/>
  <c r="H919" i="19"/>
  <c r="H920" i="19"/>
  <c r="H921" i="19"/>
  <c r="L872" i="19"/>
  <c r="M779" i="19"/>
  <c r="M778" i="19"/>
  <c r="L785" i="19" s="1"/>
  <c r="L786" i="19" s="1"/>
  <c r="M777" i="19"/>
  <c r="M776" i="19"/>
  <c r="M775" i="19"/>
  <c r="M774" i="19"/>
  <c r="E706" i="19"/>
  <c r="L707" i="19" s="1"/>
  <c r="H45" i="21" s="1"/>
  <c r="L642" i="19"/>
  <c r="L643" i="19" s="1"/>
  <c r="H46" i="21"/>
  <c r="J51" i="21"/>
  <c r="J50" i="21"/>
  <c r="K49" i="21"/>
  <c r="J49" i="21"/>
  <c r="J39" i="21"/>
  <c r="I39" i="21"/>
  <c r="H39" i="21"/>
  <c r="G39" i="21"/>
  <c r="F39" i="21"/>
  <c r="E39" i="21"/>
  <c r="D39" i="21"/>
  <c r="C39" i="21"/>
  <c r="J36" i="21"/>
  <c r="I36" i="21"/>
  <c r="H36" i="21"/>
  <c r="G36" i="21"/>
  <c r="F36" i="21"/>
  <c r="E36" i="21"/>
  <c r="D36" i="21"/>
  <c r="C36" i="21"/>
  <c r="G661" i="19"/>
  <c r="L608" i="19"/>
  <c r="G460" i="19"/>
  <c r="G1026" i="19"/>
  <c r="G849" i="19"/>
  <c r="E851" i="19" s="1"/>
  <c r="W56" i="13" s="1"/>
  <c r="G749" i="19"/>
  <c r="E751" i="19" s="1"/>
  <c r="W49" i="13" s="1"/>
  <c r="G729" i="19"/>
  <c r="E731" i="19" s="1"/>
  <c r="W48" i="13" s="1"/>
  <c r="G201" i="19"/>
  <c r="G152" i="19"/>
  <c r="G150" i="19"/>
  <c r="G130" i="19"/>
  <c r="L130" i="19" s="1"/>
  <c r="G128" i="19"/>
  <c r="G20" i="19"/>
  <c r="G19" i="19"/>
  <c r="G18" i="19"/>
  <c r="E104" i="19"/>
  <c r="E103" i="19"/>
  <c r="G102" i="19"/>
  <c r="G101" i="19"/>
  <c r="G92" i="19"/>
  <c r="G93" i="19"/>
  <c r="G94" i="19"/>
  <c r="G95" i="19"/>
  <c r="G96" i="19"/>
  <c r="G91" i="19"/>
  <c r="G89" i="19"/>
  <c r="G107" i="19"/>
  <c r="E108" i="19"/>
  <c r="J77" i="11" s="1"/>
  <c r="G99" i="19"/>
  <c r="E100" i="19"/>
  <c r="J66" i="11" s="1"/>
  <c r="E90" i="19"/>
  <c r="J58" i="11" s="1"/>
  <c r="L84" i="19"/>
  <c r="L74" i="19"/>
  <c r="L72" i="19"/>
  <c r="L71" i="19"/>
  <c r="L70" i="19"/>
  <c r="L8" i="3"/>
  <c r="L9" i="3"/>
  <c r="L10" i="3"/>
  <c r="L11" i="3"/>
  <c r="L12" i="3"/>
  <c r="L13" i="3"/>
  <c r="L6" i="3"/>
  <c r="L7" i="3"/>
  <c r="L5" i="3"/>
  <c r="I512" i="26"/>
  <c r="J512" i="26"/>
  <c r="K512" i="26"/>
  <c r="L512" i="26"/>
  <c r="M512" i="26"/>
  <c r="N512" i="26"/>
  <c r="O512" i="26"/>
  <c r="P512" i="26"/>
  <c r="Q512" i="26"/>
  <c r="R512" i="26"/>
  <c r="S512" i="26"/>
  <c r="T512" i="26"/>
  <c r="U512" i="26"/>
  <c r="V512" i="26"/>
  <c r="W512" i="26"/>
  <c r="X512" i="26"/>
  <c r="Y512" i="26"/>
  <c r="Z512" i="26"/>
  <c r="AA512" i="26"/>
  <c r="AB512" i="26"/>
  <c r="AC512" i="26"/>
  <c r="AD512" i="26"/>
  <c r="AE512" i="26"/>
  <c r="AF512" i="26"/>
  <c r="AG512" i="26"/>
  <c r="AH512" i="26"/>
  <c r="AI512" i="26"/>
  <c r="AJ512" i="26"/>
  <c r="AK512" i="26"/>
  <c r="AL512" i="26"/>
  <c r="AM512" i="26"/>
  <c r="AN512" i="26"/>
  <c r="AO512" i="26"/>
  <c r="AP512" i="26"/>
  <c r="AQ512" i="26"/>
  <c r="AR512" i="26"/>
  <c r="AS512" i="26"/>
  <c r="AT512" i="26"/>
  <c r="AU512" i="26"/>
  <c r="AV512" i="26"/>
  <c r="AW512" i="26"/>
  <c r="AX512" i="26"/>
  <c r="AY512" i="26"/>
  <c r="AZ512" i="26"/>
  <c r="BA512" i="26"/>
  <c r="BB512" i="26"/>
  <c r="BC512" i="26"/>
  <c r="BD512" i="26"/>
  <c r="BE512" i="26"/>
  <c r="BF512" i="26"/>
  <c r="BG512" i="26"/>
  <c r="H512" i="26"/>
  <c r="I7" i="26"/>
  <c r="J7" i="26"/>
  <c r="K7" i="26"/>
  <c r="L7" i="26"/>
  <c r="M7" i="26"/>
  <c r="N7" i="26"/>
  <c r="O7" i="26"/>
  <c r="P7" i="26"/>
  <c r="Q7" i="26"/>
  <c r="R7" i="26"/>
  <c r="S7" i="26"/>
  <c r="T7" i="26"/>
  <c r="U7" i="26"/>
  <c r="V7" i="26"/>
  <c r="W7" i="26"/>
  <c r="X7" i="26"/>
  <c r="Y7" i="26"/>
  <c r="Z7" i="26"/>
  <c r="AA7" i="26"/>
  <c r="AB7" i="26"/>
  <c r="AC7" i="26"/>
  <c r="AD7" i="26"/>
  <c r="AE7" i="26"/>
  <c r="AF7" i="26"/>
  <c r="AG7" i="26"/>
  <c r="AH7" i="26"/>
  <c r="AI7" i="26"/>
  <c r="AJ7" i="26"/>
  <c r="AK7" i="26"/>
  <c r="AL7" i="26"/>
  <c r="AM7" i="26"/>
  <c r="AN7" i="26"/>
  <c r="AO7" i="26"/>
  <c r="AP7" i="26"/>
  <c r="AQ7" i="26"/>
  <c r="AR7" i="26"/>
  <c r="AS7" i="26"/>
  <c r="AT7" i="26"/>
  <c r="AU7" i="26"/>
  <c r="AV7" i="26"/>
  <c r="AW7" i="26"/>
  <c r="AX7" i="26"/>
  <c r="AY7" i="26"/>
  <c r="AZ7" i="26"/>
  <c r="BA7" i="26"/>
  <c r="BB7" i="26"/>
  <c r="BC7" i="26"/>
  <c r="BD7" i="26"/>
  <c r="BE7" i="26"/>
  <c r="BF7" i="26"/>
  <c r="BG7" i="26"/>
  <c r="I8" i="26"/>
  <c r="J8" i="26"/>
  <c r="K8" i="26"/>
  <c r="L8" i="26"/>
  <c r="M8" i="26"/>
  <c r="N8" i="26"/>
  <c r="O8" i="26"/>
  <c r="P8" i="26"/>
  <c r="Q8" i="26"/>
  <c r="R8" i="26"/>
  <c r="S8" i="26"/>
  <c r="T8" i="26"/>
  <c r="U8" i="26"/>
  <c r="V8" i="26"/>
  <c r="W8" i="26"/>
  <c r="X8" i="26"/>
  <c r="Y8" i="26"/>
  <c r="Z8" i="26"/>
  <c r="AA8" i="26"/>
  <c r="AB8" i="26"/>
  <c r="AC8" i="26"/>
  <c r="AD8" i="26"/>
  <c r="AE8" i="26"/>
  <c r="AF8" i="26"/>
  <c r="AG8" i="26"/>
  <c r="AH8" i="26"/>
  <c r="AI8" i="26"/>
  <c r="AJ8" i="26"/>
  <c r="AK8" i="26"/>
  <c r="AL8" i="26"/>
  <c r="AM8" i="26"/>
  <c r="AN8" i="26"/>
  <c r="AO8" i="26"/>
  <c r="AP8" i="26"/>
  <c r="AQ8" i="26"/>
  <c r="AR8" i="26"/>
  <c r="AS8" i="26"/>
  <c r="AT8" i="26"/>
  <c r="AU8" i="26"/>
  <c r="AV8" i="26"/>
  <c r="AW8" i="26"/>
  <c r="AX8" i="26"/>
  <c r="AY8" i="26"/>
  <c r="AZ8" i="26"/>
  <c r="BA8" i="26"/>
  <c r="BB8" i="26"/>
  <c r="BC8" i="26"/>
  <c r="BD8" i="26"/>
  <c r="BE8" i="26"/>
  <c r="BF8" i="26"/>
  <c r="BG8" i="26"/>
  <c r="I9" i="26"/>
  <c r="J9" i="26"/>
  <c r="K9" i="26"/>
  <c r="L9" i="26"/>
  <c r="M9" i="26"/>
  <c r="N9" i="26"/>
  <c r="O9" i="26"/>
  <c r="P9" i="26"/>
  <c r="Q9" i="26"/>
  <c r="R9" i="26"/>
  <c r="S9" i="26"/>
  <c r="T9" i="26"/>
  <c r="U9" i="26"/>
  <c r="V9" i="26"/>
  <c r="W9" i="26"/>
  <c r="X9" i="26"/>
  <c r="Y9" i="26"/>
  <c r="Z9" i="26"/>
  <c r="AA9" i="26"/>
  <c r="AB9" i="26"/>
  <c r="AC9" i="26"/>
  <c r="AD9" i="26"/>
  <c r="AE9" i="26"/>
  <c r="AF9" i="26"/>
  <c r="AG9" i="26"/>
  <c r="AH9" i="26"/>
  <c r="AI9" i="26"/>
  <c r="AJ9" i="26"/>
  <c r="AK9" i="26"/>
  <c r="AL9" i="26"/>
  <c r="AM9" i="26"/>
  <c r="AN9" i="26"/>
  <c r="AO9" i="26"/>
  <c r="AP9" i="26"/>
  <c r="AQ9" i="26"/>
  <c r="AR9" i="26"/>
  <c r="AS9" i="26"/>
  <c r="AT9" i="26"/>
  <c r="AU9" i="26"/>
  <c r="AV9" i="26"/>
  <c r="AW9" i="26"/>
  <c r="AX9" i="26"/>
  <c r="AY9" i="26"/>
  <c r="AZ9" i="26"/>
  <c r="BA9" i="26"/>
  <c r="BB9" i="26"/>
  <c r="BC9" i="26"/>
  <c r="BD9" i="26"/>
  <c r="BE9" i="26"/>
  <c r="BF9" i="26"/>
  <c r="BG9" i="26"/>
  <c r="I10" i="26"/>
  <c r="J10" i="26"/>
  <c r="K10" i="26"/>
  <c r="L10" i="26"/>
  <c r="M10" i="26"/>
  <c r="N10" i="26"/>
  <c r="O10" i="26"/>
  <c r="P10" i="26"/>
  <c r="Q10" i="26"/>
  <c r="R10" i="26"/>
  <c r="S10" i="26"/>
  <c r="T10" i="26"/>
  <c r="U10" i="26"/>
  <c r="V10" i="26"/>
  <c r="W10" i="26"/>
  <c r="X10" i="26"/>
  <c r="Y10" i="26"/>
  <c r="Z10" i="26"/>
  <c r="AA10" i="26"/>
  <c r="AB10" i="26"/>
  <c r="AC10" i="26"/>
  <c r="AD10" i="26"/>
  <c r="AE10" i="26"/>
  <c r="AF10" i="26"/>
  <c r="AG10" i="26"/>
  <c r="AH10" i="26"/>
  <c r="AI10" i="26"/>
  <c r="AJ10" i="26"/>
  <c r="AK10" i="26"/>
  <c r="AL10" i="26"/>
  <c r="AM10" i="26"/>
  <c r="AN10" i="26"/>
  <c r="AO10" i="26"/>
  <c r="AP10" i="26"/>
  <c r="AQ10" i="26"/>
  <c r="AR10" i="26"/>
  <c r="AS10" i="26"/>
  <c r="AT10" i="26"/>
  <c r="AU10" i="26"/>
  <c r="AV10" i="26"/>
  <c r="AW10" i="26"/>
  <c r="AX10" i="26"/>
  <c r="AY10" i="26"/>
  <c r="AZ10" i="26"/>
  <c r="BA10" i="26"/>
  <c r="BB10" i="26"/>
  <c r="BC10" i="26"/>
  <c r="BD10" i="26"/>
  <c r="BE10" i="26"/>
  <c r="BF10" i="26"/>
  <c r="BG10" i="26"/>
  <c r="I11" i="26"/>
  <c r="J11" i="26"/>
  <c r="K11" i="26"/>
  <c r="L11" i="26"/>
  <c r="M11" i="26"/>
  <c r="N11" i="26"/>
  <c r="O11" i="26"/>
  <c r="P11" i="26"/>
  <c r="Q11" i="26"/>
  <c r="R11" i="26"/>
  <c r="S11" i="26"/>
  <c r="T11" i="26"/>
  <c r="U11" i="26"/>
  <c r="V11" i="26"/>
  <c r="W11" i="26"/>
  <c r="X11" i="26"/>
  <c r="Y11" i="26"/>
  <c r="Z11" i="26"/>
  <c r="AA11" i="26"/>
  <c r="AB11" i="26"/>
  <c r="AC11" i="26"/>
  <c r="AD11" i="26"/>
  <c r="AE11" i="26"/>
  <c r="AF11" i="26"/>
  <c r="AG11" i="26"/>
  <c r="AH11" i="26"/>
  <c r="AI11" i="26"/>
  <c r="AJ11" i="26"/>
  <c r="AK11" i="26"/>
  <c r="AL11" i="26"/>
  <c r="AM11" i="26"/>
  <c r="AN11" i="26"/>
  <c r="AO11" i="26"/>
  <c r="AP11" i="26"/>
  <c r="AQ11" i="26"/>
  <c r="AR11" i="26"/>
  <c r="AS11" i="26"/>
  <c r="AT11" i="26"/>
  <c r="AU11" i="26"/>
  <c r="AV11" i="26"/>
  <c r="AW11" i="26"/>
  <c r="AX11" i="26"/>
  <c r="AY11" i="26"/>
  <c r="AZ11" i="26"/>
  <c r="BA11" i="26"/>
  <c r="BB11" i="26"/>
  <c r="BC11" i="26"/>
  <c r="BD11" i="26"/>
  <c r="BE11" i="26"/>
  <c r="BF11" i="26"/>
  <c r="BG11" i="26"/>
  <c r="I12" i="26"/>
  <c r="J12" i="26"/>
  <c r="K12" i="26"/>
  <c r="L12" i="26"/>
  <c r="M12" i="26"/>
  <c r="N12" i="26"/>
  <c r="O12" i="26"/>
  <c r="P12" i="26"/>
  <c r="Q12" i="26"/>
  <c r="R12" i="26"/>
  <c r="S12" i="26"/>
  <c r="T12" i="26"/>
  <c r="U12" i="26"/>
  <c r="V12" i="26"/>
  <c r="W12" i="26"/>
  <c r="X12" i="26"/>
  <c r="Y12" i="26"/>
  <c r="Z12" i="26"/>
  <c r="AA12" i="26"/>
  <c r="AB12" i="26"/>
  <c r="AC12" i="26"/>
  <c r="AD12" i="26"/>
  <c r="AE12" i="26"/>
  <c r="AF12" i="26"/>
  <c r="AG12" i="26"/>
  <c r="AH12" i="26"/>
  <c r="AI12" i="26"/>
  <c r="AJ12" i="26"/>
  <c r="AK12" i="26"/>
  <c r="AL12" i="26"/>
  <c r="AM12" i="26"/>
  <c r="AN12" i="26"/>
  <c r="AO12" i="26"/>
  <c r="AP12" i="26"/>
  <c r="AQ12" i="26"/>
  <c r="AR12" i="26"/>
  <c r="AS12" i="26"/>
  <c r="AT12" i="26"/>
  <c r="AU12" i="26"/>
  <c r="AV12" i="26"/>
  <c r="AW12" i="26"/>
  <c r="AX12" i="26"/>
  <c r="AY12" i="26"/>
  <c r="AZ12" i="26"/>
  <c r="BA12" i="26"/>
  <c r="BB12" i="26"/>
  <c r="BC12" i="26"/>
  <c r="BD12" i="26"/>
  <c r="BE12" i="26"/>
  <c r="BF12" i="26"/>
  <c r="BG12" i="26"/>
  <c r="I13" i="26"/>
  <c r="J13" i="26"/>
  <c r="K13" i="26"/>
  <c r="L13" i="26"/>
  <c r="M13" i="26"/>
  <c r="N13" i="26"/>
  <c r="O13" i="26"/>
  <c r="P13" i="26"/>
  <c r="Q13" i="26"/>
  <c r="R13" i="26"/>
  <c r="S13" i="26"/>
  <c r="T13" i="26"/>
  <c r="U13" i="26"/>
  <c r="V13" i="26"/>
  <c r="W13" i="26"/>
  <c r="X13" i="26"/>
  <c r="Y13" i="26"/>
  <c r="Z13" i="26"/>
  <c r="AA13" i="26"/>
  <c r="AB13" i="26"/>
  <c r="AC13" i="26"/>
  <c r="AD13" i="26"/>
  <c r="AE13" i="26"/>
  <c r="AF13" i="26"/>
  <c r="AG13" i="26"/>
  <c r="AH13" i="26"/>
  <c r="AI13" i="26"/>
  <c r="AJ13" i="26"/>
  <c r="AK13" i="26"/>
  <c r="AL13" i="26"/>
  <c r="AM13" i="26"/>
  <c r="AN13" i="26"/>
  <c r="AO13" i="26"/>
  <c r="AP13" i="26"/>
  <c r="AQ13" i="26"/>
  <c r="AR13" i="26"/>
  <c r="AS13" i="26"/>
  <c r="AT13" i="26"/>
  <c r="AU13" i="26"/>
  <c r="AV13" i="26"/>
  <c r="AW13" i="26"/>
  <c r="AX13" i="26"/>
  <c r="AY13" i="26"/>
  <c r="AZ13" i="26"/>
  <c r="BA13" i="26"/>
  <c r="BB13" i="26"/>
  <c r="BC13" i="26"/>
  <c r="BD13" i="26"/>
  <c r="BE13" i="26"/>
  <c r="BF13" i="26"/>
  <c r="BG13" i="26"/>
  <c r="J14" i="26"/>
  <c r="K14" i="26"/>
  <c r="L14" i="26"/>
  <c r="M14" i="26"/>
  <c r="N14" i="26"/>
  <c r="O14" i="26"/>
  <c r="P14" i="26"/>
  <c r="Q14" i="26"/>
  <c r="R14" i="26"/>
  <c r="S14" i="26"/>
  <c r="T14" i="26"/>
  <c r="U14" i="26"/>
  <c r="V14" i="26"/>
  <c r="W14" i="26"/>
  <c r="X14" i="26"/>
  <c r="Y14" i="26"/>
  <c r="Z14" i="26"/>
  <c r="AA14" i="26"/>
  <c r="AB14" i="26"/>
  <c r="AC14" i="26"/>
  <c r="AD14" i="26"/>
  <c r="AE14" i="26"/>
  <c r="AF14" i="26"/>
  <c r="AG14" i="26"/>
  <c r="AH14" i="26"/>
  <c r="AI14" i="26"/>
  <c r="AJ14" i="26"/>
  <c r="AK14" i="26"/>
  <c r="AL14" i="26"/>
  <c r="AM14" i="26"/>
  <c r="AN14" i="26"/>
  <c r="AO14" i="26"/>
  <c r="AP14" i="26"/>
  <c r="AQ14" i="26"/>
  <c r="AR14" i="26"/>
  <c r="AS14" i="26"/>
  <c r="AT14" i="26"/>
  <c r="AU14" i="26"/>
  <c r="AV14" i="26"/>
  <c r="AW14" i="26"/>
  <c r="AX14" i="26"/>
  <c r="AY14" i="26"/>
  <c r="AZ14" i="26"/>
  <c r="BA14" i="26"/>
  <c r="BB14" i="26"/>
  <c r="BC14" i="26"/>
  <c r="BD14" i="26"/>
  <c r="BE14" i="26"/>
  <c r="BF14" i="26"/>
  <c r="BG14" i="26"/>
  <c r="I15" i="26"/>
  <c r="J15" i="26"/>
  <c r="K15" i="26"/>
  <c r="L15" i="26"/>
  <c r="M15" i="26"/>
  <c r="N15" i="26"/>
  <c r="O15" i="26"/>
  <c r="P15" i="26"/>
  <c r="Q15" i="26"/>
  <c r="R15" i="26"/>
  <c r="S15" i="26"/>
  <c r="T15" i="26"/>
  <c r="U15" i="26"/>
  <c r="V15" i="26"/>
  <c r="W15" i="26"/>
  <c r="X15" i="26"/>
  <c r="Y15" i="26"/>
  <c r="Z15" i="26"/>
  <c r="AA15" i="26"/>
  <c r="AB15" i="26"/>
  <c r="AC15" i="26"/>
  <c r="AD15" i="26"/>
  <c r="AE15" i="26"/>
  <c r="AF15" i="26"/>
  <c r="AG15" i="26"/>
  <c r="AH15" i="26"/>
  <c r="AI15" i="26"/>
  <c r="AJ15" i="26"/>
  <c r="AK15" i="26"/>
  <c r="AL15" i="26"/>
  <c r="AM15" i="26"/>
  <c r="AN15" i="26"/>
  <c r="AO15" i="26"/>
  <c r="AP15" i="26"/>
  <c r="AQ15" i="26"/>
  <c r="AR15" i="26"/>
  <c r="AS15" i="26"/>
  <c r="AT15" i="26"/>
  <c r="AU15" i="26"/>
  <c r="AV15" i="26"/>
  <c r="AW15" i="26"/>
  <c r="AX15" i="26"/>
  <c r="AY15" i="26"/>
  <c r="AZ15" i="26"/>
  <c r="BA15" i="26"/>
  <c r="BB15" i="26"/>
  <c r="BC15" i="26"/>
  <c r="BD15" i="26"/>
  <c r="BE15" i="26"/>
  <c r="BF15" i="26"/>
  <c r="BG15" i="26"/>
  <c r="I16" i="26"/>
  <c r="J16" i="26"/>
  <c r="K16" i="26"/>
  <c r="L16" i="26"/>
  <c r="M16" i="26"/>
  <c r="N16" i="26"/>
  <c r="O16" i="26"/>
  <c r="P16" i="26"/>
  <c r="Q16" i="26"/>
  <c r="R16" i="26"/>
  <c r="S16" i="26"/>
  <c r="T16" i="26"/>
  <c r="U16" i="26"/>
  <c r="V16" i="26"/>
  <c r="W16" i="26"/>
  <c r="X16" i="26"/>
  <c r="Y16" i="26"/>
  <c r="Z16" i="26"/>
  <c r="AA16" i="26"/>
  <c r="AB16" i="26"/>
  <c r="AC16" i="26"/>
  <c r="AD16" i="26"/>
  <c r="AE16" i="26"/>
  <c r="AF16" i="26"/>
  <c r="AG16" i="26"/>
  <c r="AH16" i="26"/>
  <c r="AI16" i="26"/>
  <c r="AJ16" i="26"/>
  <c r="AK16" i="26"/>
  <c r="AL16" i="26"/>
  <c r="AM16" i="26"/>
  <c r="AN16" i="26"/>
  <c r="AO16" i="26"/>
  <c r="AP16" i="26"/>
  <c r="AQ16" i="26"/>
  <c r="AR16" i="26"/>
  <c r="AS16" i="26"/>
  <c r="AT16" i="26"/>
  <c r="AU16" i="26"/>
  <c r="AV16" i="26"/>
  <c r="AW16" i="26"/>
  <c r="AX16" i="26"/>
  <c r="AY16" i="26"/>
  <c r="AZ16" i="26"/>
  <c r="BA16" i="26"/>
  <c r="BB16" i="26"/>
  <c r="BC16" i="26"/>
  <c r="BD16" i="26"/>
  <c r="BE16" i="26"/>
  <c r="BF16" i="26"/>
  <c r="BG16" i="26"/>
  <c r="I17" i="26"/>
  <c r="J17" i="26"/>
  <c r="K17" i="26"/>
  <c r="L17" i="26"/>
  <c r="M17" i="26"/>
  <c r="N17" i="26"/>
  <c r="O17" i="26"/>
  <c r="P17" i="26"/>
  <c r="Q17" i="26"/>
  <c r="R17" i="26"/>
  <c r="S17" i="26"/>
  <c r="T17" i="26"/>
  <c r="U17" i="26"/>
  <c r="V17" i="26"/>
  <c r="W17" i="26"/>
  <c r="X17" i="26"/>
  <c r="Y17" i="26"/>
  <c r="Z17" i="26"/>
  <c r="AA17" i="26"/>
  <c r="AB17" i="26"/>
  <c r="AC17" i="26"/>
  <c r="AD17" i="26"/>
  <c r="AE17" i="26"/>
  <c r="AF17" i="26"/>
  <c r="AG17" i="26"/>
  <c r="AH17" i="26"/>
  <c r="AI17" i="26"/>
  <c r="AJ17" i="26"/>
  <c r="AK17" i="26"/>
  <c r="AL17" i="26"/>
  <c r="AM17" i="26"/>
  <c r="AN17" i="26"/>
  <c r="AO17" i="26"/>
  <c r="AP17" i="26"/>
  <c r="AQ17" i="26"/>
  <c r="AR17" i="26"/>
  <c r="AS17" i="26"/>
  <c r="AT17" i="26"/>
  <c r="AU17" i="26"/>
  <c r="AV17" i="26"/>
  <c r="AW17" i="26"/>
  <c r="AX17" i="26"/>
  <c r="AY17" i="26"/>
  <c r="AZ17" i="26"/>
  <c r="BA17" i="26"/>
  <c r="BB17" i="26"/>
  <c r="BC17" i="26"/>
  <c r="BD17" i="26"/>
  <c r="BE17" i="26"/>
  <c r="BF17" i="26"/>
  <c r="BG17" i="26"/>
  <c r="I18" i="26"/>
  <c r="J18" i="26"/>
  <c r="K18" i="26"/>
  <c r="L18" i="26"/>
  <c r="M18" i="26"/>
  <c r="N18" i="26"/>
  <c r="O18" i="26"/>
  <c r="P18" i="26"/>
  <c r="Q18" i="26"/>
  <c r="R18" i="26"/>
  <c r="S18" i="26"/>
  <c r="T18" i="26"/>
  <c r="U18" i="26"/>
  <c r="V18" i="26"/>
  <c r="W18" i="26"/>
  <c r="X18" i="26"/>
  <c r="Y18" i="26"/>
  <c r="Z18" i="26"/>
  <c r="AA18" i="26"/>
  <c r="AB18" i="26"/>
  <c r="AC18" i="26"/>
  <c r="AD18" i="26"/>
  <c r="AE18" i="26"/>
  <c r="AF18" i="26"/>
  <c r="AG18" i="26"/>
  <c r="AH18" i="26"/>
  <c r="AI18" i="26"/>
  <c r="AJ18" i="26"/>
  <c r="AK18" i="26"/>
  <c r="AL18" i="26"/>
  <c r="AM18" i="26"/>
  <c r="AN18" i="26"/>
  <c r="AO18" i="26"/>
  <c r="AP18" i="26"/>
  <c r="AQ18" i="26"/>
  <c r="AR18" i="26"/>
  <c r="AS18" i="26"/>
  <c r="AT18" i="26"/>
  <c r="AU18" i="26"/>
  <c r="AV18" i="26"/>
  <c r="AW18" i="26"/>
  <c r="AX18" i="26"/>
  <c r="AY18" i="26"/>
  <c r="AZ18" i="26"/>
  <c r="BA18" i="26"/>
  <c r="BB18" i="26"/>
  <c r="BC18" i="26"/>
  <c r="BD18" i="26"/>
  <c r="BE18" i="26"/>
  <c r="BF18" i="26"/>
  <c r="BG18" i="26"/>
  <c r="I19" i="26"/>
  <c r="J19" i="26"/>
  <c r="K19" i="26"/>
  <c r="L19" i="26"/>
  <c r="M19" i="26"/>
  <c r="N19" i="26"/>
  <c r="O19" i="26"/>
  <c r="P19" i="26"/>
  <c r="Q19" i="26"/>
  <c r="R19" i="26"/>
  <c r="S19" i="26"/>
  <c r="T19" i="26"/>
  <c r="U19" i="26"/>
  <c r="V19" i="26"/>
  <c r="W19" i="26"/>
  <c r="X19" i="26"/>
  <c r="Y19" i="26"/>
  <c r="Z19" i="26"/>
  <c r="AA19" i="26"/>
  <c r="AB19" i="26"/>
  <c r="AC19" i="26"/>
  <c r="AD19" i="26"/>
  <c r="AE19" i="26"/>
  <c r="AF19" i="26"/>
  <c r="AG19" i="26"/>
  <c r="AH19" i="26"/>
  <c r="AI19" i="26"/>
  <c r="AJ19" i="26"/>
  <c r="AK19" i="26"/>
  <c r="AL19" i="26"/>
  <c r="AM19" i="26"/>
  <c r="AN19" i="26"/>
  <c r="AO19" i="26"/>
  <c r="AP19" i="26"/>
  <c r="AQ19" i="26"/>
  <c r="AR19" i="26"/>
  <c r="AS19" i="26"/>
  <c r="AT19" i="26"/>
  <c r="AU19" i="26"/>
  <c r="AV19" i="26"/>
  <c r="AW19" i="26"/>
  <c r="AX19" i="26"/>
  <c r="AY19" i="26"/>
  <c r="AZ19" i="26"/>
  <c r="BA19" i="26"/>
  <c r="BB19" i="26"/>
  <c r="BC19" i="26"/>
  <c r="BD19" i="26"/>
  <c r="BE19" i="26"/>
  <c r="BF19" i="26"/>
  <c r="BG19" i="26"/>
  <c r="I20" i="26"/>
  <c r="J20" i="26"/>
  <c r="K20" i="26"/>
  <c r="L20" i="26"/>
  <c r="M20" i="26"/>
  <c r="N20" i="26"/>
  <c r="O20" i="26"/>
  <c r="P20" i="26"/>
  <c r="Q20" i="26"/>
  <c r="R20" i="26"/>
  <c r="S20" i="26"/>
  <c r="T20" i="26"/>
  <c r="U20" i="26"/>
  <c r="V20" i="26"/>
  <c r="W20" i="26"/>
  <c r="X20" i="26"/>
  <c r="Y20" i="26"/>
  <c r="Z20" i="26"/>
  <c r="AA20" i="26"/>
  <c r="AB20" i="26"/>
  <c r="AC20" i="26"/>
  <c r="AD20" i="26"/>
  <c r="AE20" i="26"/>
  <c r="AF20" i="26"/>
  <c r="AG20" i="26"/>
  <c r="AH20" i="26"/>
  <c r="AI20" i="26"/>
  <c r="AJ20" i="26"/>
  <c r="AK20" i="26"/>
  <c r="AL20" i="26"/>
  <c r="AM20" i="26"/>
  <c r="AN20" i="26"/>
  <c r="AO20" i="26"/>
  <c r="AP20" i="26"/>
  <c r="AQ20" i="26"/>
  <c r="AR20" i="26"/>
  <c r="AS20" i="26"/>
  <c r="AT20" i="26"/>
  <c r="AU20" i="26"/>
  <c r="AV20" i="26"/>
  <c r="AW20" i="26"/>
  <c r="AX20" i="26"/>
  <c r="AY20" i="26"/>
  <c r="AZ20" i="26"/>
  <c r="BA20" i="26"/>
  <c r="BB20" i="26"/>
  <c r="BC20" i="26"/>
  <c r="BD20" i="26"/>
  <c r="BE20" i="26"/>
  <c r="BF20" i="26"/>
  <c r="BG20" i="26"/>
  <c r="I21" i="26"/>
  <c r="J21" i="26"/>
  <c r="K21" i="26"/>
  <c r="L21" i="26"/>
  <c r="M21" i="26"/>
  <c r="N21" i="26"/>
  <c r="O21" i="26"/>
  <c r="P21" i="26"/>
  <c r="Q21" i="26"/>
  <c r="R21" i="26"/>
  <c r="S21" i="26"/>
  <c r="T21" i="26"/>
  <c r="U21" i="26"/>
  <c r="V21" i="26"/>
  <c r="W21" i="26"/>
  <c r="X21" i="26"/>
  <c r="Y21" i="26"/>
  <c r="Z21" i="26"/>
  <c r="AA21" i="26"/>
  <c r="AB21" i="26"/>
  <c r="AC21" i="26"/>
  <c r="AD21" i="26"/>
  <c r="AE21" i="26"/>
  <c r="AF21" i="26"/>
  <c r="AG21" i="26"/>
  <c r="AH21" i="26"/>
  <c r="AI21" i="26"/>
  <c r="AJ21" i="26"/>
  <c r="AK21" i="26"/>
  <c r="AL21" i="26"/>
  <c r="AM21" i="26"/>
  <c r="AN21" i="26"/>
  <c r="AO21" i="26"/>
  <c r="AP21" i="26"/>
  <c r="AQ21" i="26"/>
  <c r="AR21" i="26"/>
  <c r="AS21" i="26"/>
  <c r="AT21" i="26"/>
  <c r="AU21" i="26"/>
  <c r="AV21" i="26"/>
  <c r="AW21" i="26"/>
  <c r="AX21" i="26"/>
  <c r="AY21" i="26"/>
  <c r="AZ21" i="26"/>
  <c r="BA21" i="26"/>
  <c r="BB21" i="26"/>
  <c r="BC21" i="26"/>
  <c r="BD21" i="26"/>
  <c r="BE21" i="26"/>
  <c r="BF21" i="26"/>
  <c r="BG21" i="26"/>
  <c r="I22" i="26"/>
  <c r="J22" i="26"/>
  <c r="K22" i="26"/>
  <c r="L22" i="26"/>
  <c r="M22" i="26"/>
  <c r="N22" i="26"/>
  <c r="O22" i="26"/>
  <c r="P22" i="26"/>
  <c r="Q22" i="26"/>
  <c r="R22" i="26"/>
  <c r="S22" i="26"/>
  <c r="T22" i="26"/>
  <c r="U22" i="26"/>
  <c r="V22" i="26"/>
  <c r="W22" i="26"/>
  <c r="X22" i="26"/>
  <c r="Y22" i="26"/>
  <c r="Z22" i="26"/>
  <c r="AA22" i="26"/>
  <c r="AB22" i="26"/>
  <c r="AC22" i="26"/>
  <c r="AD22" i="26"/>
  <c r="AE22" i="26"/>
  <c r="AF22" i="26"/>
  <c r="AG22" i="26"/>
  <c r="AH22" i="26"/>
  <c r="AI22" i="26"/>
  <c r="AJ22" i="26"/>
  <c r="AK22" i="26"/>
  <c r="AL22" i="26"/>
  <c r="AM22" i="26"/>
  <c r="AN22" i="26"/>
  <c r="AO22" i="26"/>
  <c r="AP22" i="26"/>
  <c r="AQ22" i="26"/>
  <c r="AR22" i="26"/>
  <c r="AS22" i="26"/>
  <c r="AT22" i="26"/>
  <c r="AU22" i="26"/>
  <c r="AV22" i="26"/>
  <c r="AW22" i="26"/>
  <c r="AX22" i="26"/>
  <c r="AY22" i="26"/>
  <c r="AZ22" i="26"/>
  <c r="BA22" i="26"/>
  <c r="BB22" i="26"/>
  <c r="BC22" i="26"/>
  <c r="BD22" i="26"/>
  <c r="BE22" i="26"/>
  <c r="BF22" i="26"/>
  <c r="BG22" i="26"/>
  <c r="I23" i="26"/>
  <c r="J23" i="26"/>
  <c r="K23" i="26"/>
  <c r="L23" i="26"/>
  <c r="M23" i="26"/>
  <c r="N23" i="26"/>
  <c r="O23" i="26"/>
  <c r="P23" i="26"/>
  <c r="Q23" i="26"/>
  <c r="R23" i="26"/>
  <c r="S23" i="26"/>
  <c r="T23" i="26"/>
  <c r="U23" i="26"/>
  <c r="V23" i="26"/>
  <c r="W23" i="26"/>
  <c r="X23" i="26"/>
  <c r="Y23" i="26"/>
  <c r="Z23" i="26"/>
  <c r="AA23" i="26"/>
  <c r="AB23" i="26"/>
  <c r="AC23" i="26"/>
  <c r="AD23" i="26"/>
  <c r="AE23" i="26"/>
  <c r="AF23" i="26"/>
  <c r="AG23" i="26"/>
  <c r="AH23" i="26"/>
  <c r="AI23" i="26"/>
  <c r="AJ23" i="26"/>
  <c r="AK23" i="26"/>
  <c r="AL23" i="26"/>
  <c r="AM23" i="26"/>
  <c r="AN23" i="26"/>
  <c r="AO23" i="26"/>
  <c r="AP23" i="26"/>
  <c r="AQ23" i="26"/>
  <c r="AR23" i="26"/>
  <c r="AS23" i="26"/>
  <c r="AT23" i="26"/>
  <c r="AU23" i="26"/>
  <c r="AV23" i="26"/>
  <c r="AW23" i="26"/>
  <c r="AX23" i="26"/>
  <c r="AY23" i="26"/>
  <c r="AZ23" i="26"/>
  <c r="BA23" i="26"/>
  <c r="BB23" i="26"/>
  <c r="BC23" i="26"/>
  <c r="BD23" i="26"/>
  <c r="BE23" i="26"/>
  <c r="BF23" i="26"/>
  <c r="BG23" i="26"/>
  <c r="I24" i="26"/>
  <c r="J24" i="26"/>
  <c r="K24" i="26"/>
  <c r="L24" i="26"/>
  <c r="M24" i="26"/>
  <c r="N24" i="26"/>
  <c r="O24" i="26"/>
  <c r="P24" i="26"/>
  <c r="Q24" i="26"/>
  <c r="R24" i="26"/>
  <c r="S24" i="26"/>
  <c r="T24" i="26"/>
  <c r="U24" i="26"/>
  <c r="V24" i="26"/>
  <c r="W24" i="26"/>
  <c r="X24" i="26"/>
  <c r="Y24" i="26"/>
  <c r="Z24" i="26"/>
  <c r="AA24" i="26"/>
  <c r="AB24" i="26"/>
  <c r="AC24" i="26"/>
  <c r="AD24" i="26"/>
  <c r="AE24" i="26"/>
  <c r="AF24" i="26"/>
  <c r="AG24" i="26"/>
  <c r="AH24" i="26"/>
  <c r="AI24" i="26"/>
  <c r="AJ24" i="26"/>
  <c r="AK24" i="26"/>
  <c r="AL24" i="26"/>
  <c r="AM24" i="26"/>
  <c r="AN24" i="26"/>
  <c r="AO24" i="26"/>
  <c r="AP24" i="26"/>
  <c r="AQ24" i="26"/>
  <c r="AR24" i="26"/>
  <c r="AS24" i="26"/>
  <c r="AT24" i="26"/>
  <c r="AU24" i="26"/>
  <c r="AV24" i="26"/>
  <c r="AW24" i="26"/>
  <c r="AX24" i="26"/>
  <c r="AY24" i="26"/>
  <c r="AZ24" i="26"/>
  <c r="BA24" i="26"/>
  <c r="BB24" i="26"/>
  <c r="BC24" i="26"/>
  <c r="BD24" i="26"/>
  <c r="BE24" i="26"/>
  <c r="BF24" i="26"/>
  <c r="BG24" i="26"/>
  <c r="I25" i="26"/>
  <c r="J25" i="26"/>
  <c r="K25" i="26"/>
  <c r="L25" i="26"/>
  <c r="M25" i="26"/>
  <c r="N25" i="26"/>
  <c r="O25" i="26"/>
  <c r="P25" i="26"/>
  <c r="Q25" i="26"/>
  <c r="R25" i="26"/>
  <c r="S25" i="26"/>
  <c r="T25" i="26"/>
  <c r="U25" i="26"/>
  <c r="V25" i="26"/>
  <c r="W25" i="26"/>
  <c r="X25" i="26"/>
  <c r="Y25" i="26"/>
  <c r="Z25" i="26"/>
  <c r="AA25" i="26"/>
  <c r="AB25" i="26"/>
  <c r="AC25" i="26"/>
  <c r="AD25" i="26"/>
  <c r="AE25" i="26"/>
  <c r="AF25" i="26"/>
  <c r="AG25" i="26"/>
  <c r="AH25" i="26"/>
  <c r="AI25" i="26"/>
  <c r="AJ25" i="26"/>
  <c r="AK25" i="26"/>
  <c r="AL25" i="26"/>
  <c r="AM25" i="26"/>
  <c r="AN25" i="26"/>
  <c r="AO25" i="26"/>
  <c r="AP25" i="26"/>
  <c r="AQ25" i="26"/>
  <c r="AR25" i="26"/>
  <c r="AS25" i="26"/>
  <c r="AT25" i="26"/>
  <c r="AU25" i="26"/>
  <c r="AV25" i="26"/>
  <c r="AW25" i="26"/>
  <c r="AX25" i="26"/>
  <c r="AY25" i="26"/>
  <c r="AZ25" i="26"/>
  <c r="BA25" i="26"/>
  <c r="BB25" i="26"/>
  <c r="BC25" i="26"/>
  <c r="BD25" i="26"/>
  <c r="BE25" i="26"/>
  <c r="BF25" i="26"/>
  <c r="BG25" i="26"/>
  <c r="I26" i="26"/>
  <c r="J26" i="26"/>
  <c r="K26" i="26"/>
  <c r="L26" i="26"/>
  <c r="M26" i="26"/>
  <c r="N26" i="26"/>
  <c r="O26" i="26"/>
  <c r="P26" i="26"/>
  <c r="Q26" i="26"/>
  <c r="R26" i="26"/>
  <c r="S26" i="26"/>
  <c r="T26" i="26"/>
  <c r="U26" i="26"/>
  <c r="V26" i="26"/>
  <c r="W26" i="26"/>
  <c r="X26" i="26"/>
  <c r="Y26" i="26"/>
  <c r="Z26" i="26"/>
  <c r="AA26" i="26"/>
  <c r="AB26" i="26"/>
  <c r="AC26" i="26"/>
  <c r="AD26" i="26"/>
  <c r="AE26" i="26"/>
  <c r="AF26" i="26"/>
  <c r="AG26" i="26"/>
  <c r="AH26" i="26"/>
  <c r="AI26" i="26"/>
  <c r="AJ26" i="26"/>
  <c r="AK26" i="26"/>
  <c r="AL26" i="26"/>
  <c r="AM26" i="26"/>
  <c r="AN26" i="26"/>
  <c r="AO26" i="26"/>
  <c r="AP26" i="26"/>
  <c r="AQ26" i="26"/>
  <c r="AR26" i="26"/>
  <c r="AS26" i="26"/>
  <c r="AT26" i="26"/>
  <c r="AU26" i="26"/>
  <c r="AV26" i="26"/>
  <c r="AW26" i="26"/>
  <c r="AX26" i="26"/>
  <c r="AY26" i="26"/>
  <c r="AZ26" i="26"/>
  <c r="BA26" i="26"/>
  <c r="BB26" i="26"/>
  <c r="BC26" i="26"/>
  <c r="BD26" i="26"/>
  <c r="BE26" i="26"/>
  <c r="BF26" i="26"/>
  <c r="BG26" i="26"/>
  <c r="I27" i="26"/>
  <c r="J27" i="26"/>
  <c r="K27" i="26"/>
  <c r="L27" i="26"/>
  <c r="M27" i="26"/>
  <c r="N27" i="26"/>
  <c r="O27" i="26"/>
  <c r="P27" i="26"/>
  <c r="Q27" i="26"/>
  <c r="R27" i="26"/>
  <c r="S27" i="26"/>
  <c r="T27" i="26"/>
  <c r="U27" i="26"/>
  <c r="V27" i="26"/>
  <c r="W27" i="26"/>
  <c r="X27" i="26"/>
  <c r="Y27" i="26"/>
  <c r="Z27" i="26"/>
  <c r="AA27" i="26"/>
  <c r="AB27" i="26"/>
  <c r="AC27" i="26"/>
  <c r="AD27" i="26"/>
  <c r="AE27" i="26"/>
  <c r="AF27" i="26"/>
  <c r="AG27" i="26"/>
  <c r="AH27" i="26"/>
  <c r="AI27" i="26"/>
  <c r="AJ27" i="26"/>
  <c r="AK27" i="26"/>
  <c r="AL27" i="26"/>
  <c r="AM27" i="26"/>
  <c r="AN27" i="26"/>
  <c r="AO27" i="26"/>
  <c r="AP27" i="26"/>
  <c r="AQ27" i="26"/>
  <c r="AR27" i="26"/>
  <c r="AS27" i="26"/>
  <c r="AT27" i="26"/>
  <c r="AU27" i="26"/>
  <c r="AV27" i="26"/>
  <c r="AW27" i="26"/>
  <c r="AX27" i="26"/>
  <c r="AY27" i="26"/>
  <c r="AZ27" i="26"/>
  <c r="BA27" i="26"/>
  <c r="BB27" i="26"/>
  <c r="BC27" i="26"/>
  <c r="BD27" i="26"/>
  <c r="BE27" i="26"/>
  <c r="BF27" i="26"/>
  <c r="BG27" i="26"/>
  <c r="I28" i="26"/>
  <c r="J28" i="26"/>
  <c r="K28" i="26"/>
  <c r="L28" i="26"/>
  <c r="M28" i="26"/>
  <c r="N28" i="26"/>
  <c r="O28" i="26"/>
  <c r="P28" i="26"/>
  <c r="Q28" i="26"/>
  <c r="R28" i="26"/>
  <c r="S28" i="26"/>
  <c r="T28" i="26"/>
  <c r="U28" i="26"/>
  <c r="V28" i="26"/>
  <c r="W28" i="26"/>
  <c r="X28" i="26"/>
  <c r="Y28" i="26"/>
  <c r="Z28" i="26"/>
  <c r="AA28" i="26"/>
  <c r="AB28" i="26"/>
  <c r="AC28" i="26"/>
  <c r="AD28" i="26"/>
  <c r="AE28" i="26"/>
  <c r="AF28" i="26"/>
  <c r="AG28" i="26"/>
  <c r="AH28" i="26"/>
  <c r="AI28" i="26"/>
  <c r="AJ28" i="26"/>
  <c r="AK28" i="26"/>
  <c r="AL28" i="26"/>
  <c r="AM28" i="26"/>
  <c r="AN28" i="26"/>
  <c r="AO28" i="26"/>
  <c r="AP28" i="26"/>
  <c r="AQ28" i="26"/>
  <c r="AR28" i="26"/>
  <c r="AS28" i="26"/>
  <c r="AT28" i="26"/>
  <c r="AU28" i="26"/>
  <c r="AV28" i="26"/>
  <c r="AW28" i="26"/>
  <c r="AX28" i="26"/>
  <c r="AY28" i="26"/>
  <c r="AZ28" i="26"/>
  <c r="BA28" i="26"/>
  <c r="BB28" i="26"/>
  <c r="BC28" i="26"/>
  <c r="BD28" i="26"/>
  <c r="BE28" i="26"/>
  <c r="BF28" i="26"/>
  <c r="BG28" i="26"/>
  <c r="I29" i="26"/>
  <c r="J29" i="26"/>
  <c r="K29" i="26"/>
  <c r="L29" i="26"/>
  <c r="M29" i="26"/>
  <c r="N29" i="26"/>
  <c r="O29" i="26"/>
  <c r="P29" i="26"/>
  <c r="Q29" i="26"/>
  <c r="R29" i="26"/>
  <c r="S29" i="26"/>
  <c r="T29" i="26"/>
  <c r="U29" i="26"/>
  <c r="V29" i="26"/>
  <c r="W29" i="26"/>
  <c r="X29" i="26"/>
  <c r="Y29" i="26"/>
  <c r="Z29" i="26"/>
  <c r="AA29" i="26"/>
  <c r="AB29" i="26"/>
  <c r="AC29" i="26"/>
  <c r="AD29" i="26"/>
  <c r="AE29" i="26"/>
  <c r="AF29" i="26"/>
  <c r="AG29" i="26"/>
  <c r="AH29" i="26"/>
  <c r="AI29" i="26"/>
  <c r="AJ29" i="26"/>
  <c r="AK29" i="26"/>
  <c r="AL29" i="26"/>
  <c r="AM29" i="26"/>
  <c r="AN29" i="26"/>
  <c r="AO29" i="26"/>
  <c r="AP29" i="26"/>
  <c r="AQ29" i="26"/>
  <c r="AR29" i="26"/>
  <c r="AS29" i="26"/>
  <c r="AT29" i="26"/>
  <c r="AU29" i="26"/>
  <c r="AV29" i="26"/>
  <c r="AW29" i="26"/>
  <c r="AX29" i="26"/>
  <c r="AY29" i="26"/>
  <c r="AZ29" i="26"/>
  <c r="BA29" i="26"/>
  <c r="BB29" i="26"/>
  <c r="BC29" i="26"/>
  <c r="BD29" i="26"/>
  <c r="BE29" i="26"/>
  <c r="BF29" i="26"/>
  <c r="BG29" i="26"/>
  <c r="I30" i="26"/>
  <c r="J30" i="26"/>
  <c r="K30" i="26"/>
  <c r="L30" i="26"/>
  <c r="M30" i="26"/>
  <c r="N30" i="26"/>
  <c r="O30" i="26"/>
  <c r="P30" i="26"/>
  <c r="Q30" i="26"/>
  <c r="R30" i="26"/>
  <c r="S30" i="26"/>
  <c r="T30" i="26"/>
  <c r="U30" i="26"/>
  <c r="V30" i="26"/>
  <c r="W30" i="26"/>
  <c r="X30" i="26"/>
  <c r="Y30" i="26"/>
  <c r="Z30" i="26"/>
  <c r="AA30" i="26"/>
  <c r="AB30" i="26"/>
  <c r="AC30" i="26"/>
  <c r="AD30" i="26"/>
  <c r="AE30" i="26"/>
  <c r="AF30" i="26"/>
  <c r="AG30" i="26"/>
  <c r="AH30" i="26"/>
  <c r="AI30" i="26"/>
  <c r="AJ30" i="26"/>
  <c r="AK30" i="26"/>
  <c r="AL30" i="26"/>
  <c r="AM30" i="26"/>
  <c r="AN30" i="26"/>
  <c r="AO30" i="26"/>
  <c r="AP30" i="26"/>
  <c r="AQ30" i="26"/>
  <c r="AR30" i="26"/>
  <c r="AS30" i="26"/>
  <c r="AT30" i="26"/>
  <c r="AU30" i="26"/>
  <c r="AV30" i="26"/>
  <c r="AW30" i="26"/>
  <c r="AX30" i="26"/>
  <c r="AY30" i="26"/>
  <c r="AZ30" i="26"/>
  <c r="BA30" i="26"/>
  <c r="BB30" i="26"/>
  <c r="BC30" i="26"/>
  <c r="BD30" i="26"/>
  <c r="BE30" i="26"/>
  <c r="BF30" i="26"/>
  <c r="BG30" i="26"/>
  <c r="I31" i="26"/>
  <c r="J31" i="26"/>
  <c r="K31" i="26"/>
  <c r="L31" i="26"/>
  <c r="M31" i="26"/>
  <c r="N31" i="26"/>
  <c r="O31" i="26"/>
  <c r="P31" i="26"/>
  <c r="Q31" i="26"/>
  <c r="R31" i="26"/>
  <c r="S31" i="26"/>
  <c r="T31" i="26"/>
  <c r="U31" i="26"/>
  <c r="V31" i="26"/>
  <c r="W31" i="26"/>
  <c r="X31" i="26"/>
  <c r="Y31" i="26"/>
  <c r="Z31" i="26"/>
  <c r="AA31" i="26"/>
  <c r="AB31" i="26"/>
  <c r="AC31" i="26"/>
  <c r="AD31" i="26"/>
  <c r="AE31" i="26"/>
  <c r="AF31" i="26"/>
  <c r="AG31" i="26"/>
  <c r="AH31" i="26"/>
  <c r="AI31" i="26"/>
  <c r="AJ31" i="26"/>
  <c r="AK31" i="26"/>
  <c r="AL31" i="26"/>
  <c r="AM31" i="26"/>
  <c r="AN31" i="26"/>
  <c r="AO31" i="26"/>
  <c r="AP31" i="26"/>
  <c r="AQ31" i="26"/>
  <c r="AR31" i="26"/>
  <c r="AS31" i="26"/>
  <c r="AT31" i="26"/>
  <c r="AU31" i="26"/>
  <c r="AV31" i="26"/>
  <c r="AW31" i="26"/>
  <c r="AX31" i="26"/>
  <c r="AY31" i="26"/>
  <c r="AZ31" i="26"/>
  <c r="BA31" i="26"/>
  <c r="BB31" i="26"/>
  <c r="BC31" i="26"/>
  <c r="BD31" i="26"/>
  <c r="BE31" i="26"/>
  <c r="BF31" i="26"/>
  <c r="BG31" i="26"/>
  <c r="I32" i="26"/>
  <c r="J32" i="26"/>
  <c r="K32" i="26"/>
  <c r="L32" i="26"/>
  <c r="M32" i="26"/>
  <c r="N32" i="26"/>
  <c r="O32" i="26"/>
  <c r="P32" i="26"/>
  <c r="Q32" i="26"/>
  <c r="R32" i="26"/>
  <c r="S32" i="26"/>
  <c r="T32" i="26"/>
  <c r="U32" i="26"/>
  <c r="V32" i="26"/>
  <c r="W32" i="26"/>
  <c r="X32" i="26"/>
  <c r="Y32" i="26"/>
  <c r="Z32" i="26"/>
  <c r="AA32" i="26"/>
  <c r="AB32" i="26"/>
  <c r="AC32" i="26"/>
  <c r="AD32" i="26"/>
  <c r="AE32" i="26"/>
  <c r="AF32" i="26"/>
  <c r="AG32" i="26"/>
  <c r="AH32" i="26"/>
  <c r="AI32" i="26"/>
  <c r="AJ32" i="26"/>
  <c r="AK32" i="26"/>
  <c r="AL32" i="26"/>
  <c r="AM32" i="26"/>
  <c r="AN32" i="26"/>
  <c r="AO32" i="26"/>
  <c r="AP32" i="26"/>
  <c r="AQ32" i="26"/>
  <c r="AR32" i="26"/>
  <c r="AS32" i="26"/>
  <c r="AT32" i="26"/>
  <c r="AU32" i="26"/>
  <c r="AV32" i="26"/>
  <c r="AW32" i="26"/>
  <c r="AX32" i="26"/>
  <c r="AY32" i="26"/>
  <c r="AZ32" i="26"/>
  <c r="BA32" i="26"/>
  <c r="BB32" i="26"/>
  <c r="BC32" i="26"/>
  <c r="BD32" i="26"/>
  <c r="BE32" i="26"/>
  <c r="BF32" i="26"/>
  <c r="BG32" i="26"/>
  <c r="I33" i="26"/>
  <c r="J33" i="26"/>
  <c r="K33" i="26"/>
  <c r="L33" i="26"/>
  <c r="M33" i="26"/>
  <c r="N33" i="26"/>
  <c r="O33" i="26"/>
  <c r="P33" i="26"/>
  <c r="Q33" i="26"/>
  <c r="R33" i="26"/>
  <c r="S33" i="26"/>
  <c r="T33" i="26"/>
  <c r="U33" i="26"/>
  <c r="V33" i="26"/>
  <c r="W33" i="26"/>
  <c r="X33" i="26"/>
  <c r="Y33" i="26"/>
  <c r="Z33" i="26"/>
  <c r="AA33" i="26"/>
  <c r="AB33" i="26"/>
  <c r="AC33" i="26"/>
  <c r="AD33" i="26"/>
  <c r="AE33" i="26"/>
  <c r="AF33" i="26"/>
  <c r="AG33" i="26"/>
  <c r="AH33" i="26"/>
  <c r="AI33" i="26"/>
  <c r="AJ33" i="26"/>
  <c r="AK33" i="26"/>
  <c r="AL33" i="26"/>
  <c r="AM33" i="26"/>
  <c r="AN33" i="26"/>
  <c r="AO33" i="26"/>
  <c r="AP33" i="26"/>
  <c r="AQ33" i="26"/>
  <c r="AR33" i="26"/>
  <c r="AS33" i="26"/>
  <c r="AT33" i="26"/>
  <c r="AU33" i="26"/>
  <c r="AV33" i="26"/>
  <c r="AW33" i="26"/>
  <c r="AX33" i="26"/>
  <c r="AY33" i="26"/>
  <c r="AZ33" i="26"/>
  <c r="BA33" i="26"/>
  <c r="BB33" i="26"/>
  <c r="BC33" i="26"/>
  <c r="BD33" i="26"/>
  <c r="BE33" i="26"/>
  <c r="BF33" i="26"/>
  <c r="BG33" i="26"/>
  <c r="I34" i="26"/>
  <c r="J34" i="26"/>
  <c r="K34" i="26"/>
  <c r="L34" i="26"/>
  <c r="M34" i="26"/>
  <c r="N34" i="26"/>
  <c r="O34" i="26"/>
  <c r="P34" i="26"/>
  <c r="Q34" i="26"/>
  <c r="R34" i="26"/>
  <c r="S34" i="26"/>
  <c r="T34" i="26"/>
  <c r="U34" i="26"/>
  <c r="V34" i="26"/>
  <c r="W34" i="26"/>
  <c r="X34" i="26"/>
  <c r="Y34" i="26"/>
  <c r="Z34" i="26"/>
  <c r="AA34" i="26"/>
  <c r="AB34" i="26"/>
  <c r="AC34" i="26"/>
  <c r="AD34" i="26"/>
  <c r="AE34" i="26"/>
  <c r="AF34" i="26"/>
  <c r="AG34" i="26"/>
  <c r="AH34" i="26"/>
  <c r="AI34" i="26"/>
  <c r="AJ34" i="26"/>
  <c r="AK34" i="26"/>
  <c r="AL34" i="26"/>
  <c r="AM34" i="26"/>
  <c r="AN34" i="26"/>
  <c r="AO34" i="26"/>
  <c r="AP34" i="26"/>
  <c r="AQ34" i="26"/>
  <c r="AR34" i="26"/>
  <c r="AS34" i="26"/>
  <c r="AT34" i="26"/>
  <c r="AU34" i="26"/>
  <c r="AV34" i="26"/>
  <c r="AW34" i="26"/>
  <c r="AX34" i="26"/>
  <c r="AY34" i="26"/>
  <c r="AZ34" i="26"/>
  <c r="BA34" i="26"/>
  <c r="BB34" i="26"/>
  <c r="BC34" i="26"/>
  <c r="BD34" i="26"/>
  <c r="BE34" i="26"/>
  <c r="BF34" i="26"/>
  <c r="BG34" i="26"/>
  <c r="I35" i="26"/>
  <c r="J35" i="26"/>
  <c r="K35" i="26"/>
  <c r="L35" i="26"/>
  <c r="M35" i="26"/>
  <c r="N35" i="26"/>
  <c r="O35" i="26"/>
  <c r="P35" i="26"/>
  <c r="Q35" i="26"/>
  <c r="R35" i="26"/>
  <c r="S35" i="26"/>
  <c r="T35" i="26"/>
  <c r="U35" i="26"/>
  <c r="V35" i="26"/>
  <c r="W35" i="26"/>
  <c r="X35" i="26"/>
  <c r="Y35" i="26"/>
  <c r="Z35" i="26"/>
  <c r="AA35" i="26"/>
  <c r="AB35" i="26"/>
  <c r="AC35" i="26"/>
  <c r="AD35" i="26"/>
  <c r="AE35" i="26"/>
  <c r="AF35" i="26"/>
  <c r="AG35" i="26"/>
  <c r="AH35" i="26"/>
  <c r="AI35" i="26"/>
  <c r="AJ35" i="26"/>
  <c r="AK35" i="26"/>
  <c r="AL35" i="26"/>
  <c r="AM35" i="26"/>
  <c r="AN35" i="26"/>
  <c r="AO35" i="26"/>
  <c r="AP35" i="26"/>
  <c r="AQ35" i="26"/>
  <c r="AR35" i="26"/>
  <c r="AS35" i="26"/>
  <c r="AT35" i="26"/>
  <c r="AU35" i="26"/>
  <c r="AV35" i="26"/>
  <c r="AW35" i="26"/>
  <c r="AX35" i="26"/>
  <c r="AY35" i="26"/>
  <c r="AZ35" i="26"/>
  <c r="BA35" i="26"/>
  <c r="BB35" i="26"/>
  <c r="BC35" i="26"/>
  <c r="BD35" i="26"/>
  <c r="BE35" i="26"/>
  <c r="BF35" i="26"/>
  <c r="BG35" i="26"/>
  <c r="I36" i="26"/>
  <c r="J36" i="26"/>
  <c r="K36" i="26"/>
  <c r="L36" i="26"/>
  <c r="M36" i="26"/>
  <c r="N36" i="26"/>
  <c r="O36" i="26"/>
  <c r="P36" i="26"/>
  <c r="Q36" i="26"/>
  <c r="R36" i="26"/>
  <c r="S36" i="26"/>
  <c r="T36" i="26"/>
  <c r="U36" i="26"/>
  <c r="V36" i="26"/>
  <c r="W36" i="26"/>
  <c r="X36" i="26"/>
  <c r="Y36" i="26"/>
  <c r="Z36" i="26"/>
  <c r="AA36" i="26"/>
  <c r="AB36" i="26"/>
  <c r="AC36" i="26"/>
  <c r="AD36" i="26"/>
  <c r="AE36" i="26"/>
  <c r="AF36" i="26"/>
  <c r="AG36" i="26"/>
  <c r="AH36" i="26"/>
  <c r="AI36" i="26"/>
  <c r="AJ36" i="26"/>
  <c r="AK36" i="26"/>
  <c r="AL36" i="26"/>
  <c r="AM36" i="26"/>
  <c r="AN36" i="26"/>
  <c r="AO36" i="26"/>
  <c r="AP36" i="26"/>
  <c r="AQ36" i="26"/>
  <c r="AR36" i="26"/>
  <c r="AS36" i="26"/>
  <c r="AT36" i="26"/>
  <c r="AU36" i="26"/>
  <c r="AV36" i="26"/>
  <c r="AW36" i="26"/>
  <c r="AX36" i="26"/>
  <c r="AY36" i="26"/>
  <c r="AZ36" i="26"/>
  <c r="BA36" i="26"/>
  <c r="BB36" i="26"/>
  <c r="BC36" i="26"/>
  <c r="BD36" i="26"/>
  <c r="BE36" i="26"/>
  <c r="BF36" i="26"/>
  <c r="BG36" i="26"/>
  <c r="I37" i="26"/>
  <c r="J37" i="26"/>
  <c r="K37" i="26"/>
  <c r="L37" i="26"/>
  <c r="M37" i="26"/>
  <c r="N37" i="26"/>
  <c r="O37" i="26"/>
  <c r="P37" i="26"/>
  <c r="Q37" i="26"/>
  <c r="R37" i="26"/>
  <c r="S37" i="26"/>
  <c r="T37" i="26"/>
  <c r="U37" i="26"/>
  <c r="V37" i="26"/>
  <c r="W37" i="26"/>
  <c r="X37" i="26"/>
  <c r="Y37" i="26"/>
  <c r="Z37" i="26"/>
  <c r="AA37" i="26"/>
  <c r="AB37" i="26"/>
  <c r="AC37" i="26"/>
  <c r="AD37" i="26"/>
  <c r="AE37" i="26"/>
  <c r="AF37" i="26"/>
  <c r="AG37" i="26"/>
  <c r="AH37" i="26"/>
  <c r="AI37" i="26"/>
  <c r="AJ37" i="26"/>
  <c r="AK37" i="26"/>
  <c r="AL37" i="26"/>
  <c r="AM37" i="26"/>
  <c r="AN37" i="26"/>
  <c r="AO37" i="26"/>
  <c r="AP37" i="26"/>
  <c r="AQ37" i="26"/>
  <c r="AR37" i="26"/>
  <c r="AS37" i="26"/>
  <c r="AT37" i="26"/>
  <c r="AU37" i="26"/>
  <c r="AV37" i="26"/>
  <c r="AW37" i="26"/>
  <c r="AX37" i="26"/>
  <c r="AY37" i="26"/>
  <c r="AZ37" i="26"/>
  <c r="BA37" i="26"/>
  <c r="BB37" i="26"/>
  <c r="BC37" i="26"/>
  <c r="BD37" i="26"/>
  <c r="BE37" i="26"/>
  <c r="BF37" i="26"/>
  <c r="BG37" i="26"/>
  <c r="I38" i="26"/>
  <c r="J38" i="26"/>
  <c r="K38" i="26"/>
  <c r="L38" i="26"/>
  <c r="M38" i="26"/>
  <c r="N38" i="26"/>
  <c r="O38" i="26"/>
  <c r="P38" i="26"/>
  <c r="Q38" i="26"/>
  <c r="R38" i="26"/>
  <c r="S38" i="26"/>
  <c r="T38" i="26"/>
  <c r="U38" i="26"/>
  <c r="V38" i="26"/>
  <c r="W38" i="26"/>
  <c r="X38" i="26"/>
  <c r="Y38" i="26"/>
  <c r="Z38" i="26"/>
  <c r="AA38" i="26"/>
  <c r="AB38" i="26"/>
  <c r="AC38" i="26"/>
  <c r="AD38" i="26"/>
  <c r="AE38" i="26"/>
  <c r="AF38" i="26"/>
  <c r="AG38" i="26"/>
  <c r="AH38" i="26"/>
  <c r="AI38" i="26"/>
  <c r="AJ38" i="26"/>
  <c r="AK38" i="26"/>
  <c r="AL38" i="26"/>
  <c r="AM38" i="26"/>
  <c r="AN38" i="26"/>
  <c r="AO38" i="26"/>
  <c r="AP38" i="26"/>
  <c r="AQ38" i="26"/>
  <c r="AR38" i="26"/>
  <c r="AS38" i="26"/>
  <c r="AT38" i="26"/>
  <c r="AU38" i="26"/>
  <c r="AV38" i="26"/>
  <c r="AW38" i="26"/>
  <c r="AX38" i="26"/>
  <c r="AY38" i="26"/>
  <c r="AZ38" i="26"/>
  <c r="BA38" i="26"/>
  <c r="BB38" i="26"/>
  <c r="BC38" i="26"/>
  <c r="BD38" i="26"/>
  <c r="BE38" i="26"/>
  <c r="BF38" i="26"/>
  <c r="BG38" i="26"/>
  <c r="I39" i="26"/>
  <c r="J39" i="26"/>
  <c r="K39" i="26"/>
  <c r="L39" i="26"/>
  <c r="M39" i="26"/>
  <c r="N39" i="26"/>
  <c r="O39" i="26"/>
  <c r="P39" i="26"/>
  <c r="Q39" i="26"/>
  <c r="R39" i="26"/>
  <c r="S39" i="26"/>
  <c r="T39" i="26"/>
  <c r="U39" i="26"/>
  <c r="V39" i="26"/>
  <c r="W39" i="26"/>
  <c r="X39" i="26"/>
  <c r="Y39" i="26"/>
  <c r="Z39" i="26"/>
  <c r="AA39" i="26"/>
  <c r="AB39" i="26"/>
  <c r="AC39" i="26"/>
  <c r="AD39" i="26"/>
  <c r="AE39" i="26"/>
  <c r="AF39" i="26"/>
  <c r="AG39" i="26"/>
  <c r="AH39" i="26"/>
  <c r="AI39" i="26"/>
  <c r="AJ39" i="26"/>
  <c r="AK39" i="26"/>
  <c r="AL39" i="26"/>
  <c r="AM39" i="26"/>
  <c r="AN39" i="26"/>
  <c r="AO39" i="26"/>
  <c r="AP39" i="26"/>
  <c r="AQ39" i="26"/>
  <c r="AR39" i="26"/>
  <c r="AS39" i="26"/>
  <c r="AT39" i="26"/>
  <c r="AU39" i="26"/>
  <c r="AV39" i="26"/>
  <c r="AW39" i="26"/>
  <c r="AX39" i="26"/>
  <c r="AY39" i="26"/>
  <c r="AZ39" i="26"/>
  <c r="BA39" i="26"/>
  <c r="BB39" i="26"/>
  <c r="BC39" i="26"/>
  <c r="BD39" i="26"/>
  <c r="BE39" i="26"/>
  <c r="BF39" i="26"/>
  <c r="BG39" i="26"/>
  <c r="I40" i="26"/>
  <c r="J40" i="26"/>
  <c r="K40" i="26"/>
  <c r="L40" i="26"/>
  <c r="M40" i="26"/>
  <c r="N40" i="26"/>
  <c r="O40" i="26"/>
  <c r="P40" i="26"/>
  <c r="Q40" i="26"/>
  <c r="R40" i="26"/>
  <c r="S40" i="26"/>
  <c r="T40" i="26"/>
  <c r="U40" i="26"/>
  <c r="V40" i="26"/>
  <c r="W40" i="26"/>
  <c r="X40" i="26"/>
  <c r="Y40" i="26"/>
  <c r="Z40" i="26"/>
  <c r="AA40" i="26"/>
  <c r="AB40" i="26"/>
  <c r="AC40" i="26"/>
  <c r="AD40" i="26"/>
  <c r="AE40" i="26"/>
  <c r="AF40" i="26"/>
  <c r="AG40" i="26"/>
  <c r="AH40" i="26"/>
  <c r="AI40" i="26"/>
  <c r="AJ40" i="26"/>
  <c r="AK40" i="26"/>
  <c r="AL40" i="26"/>
  <c r="AM40" i="26"/>
  <c r="AN40" i="26"/>
  <c r="AO40" i="26"/>
  <c r="AP40" i="26"/>
  <c r="AQ40" i="26"/>
  <c r="AR40" i="26"/>
  <c r="AS40" i="26"/>
  <c r="AT40" i="26"/>
  <c r="AU40" i="26"/>
  <c r="AV40" i="26"/>
  <c r="AW40" i="26"/>
  <c r="AX40" i="26"/>
  <c r="AY40" i="26"/>
  <c r="AZ40" i="26"/>
  <c r="BA40" i="26"/>
  <c r="BB40" i="26"/>
  <c r="BC40" i="26"/>
  <c r="BD40" i="26"/>
  <c r="BE40" i="26"/>
  <c r="BF40" i="26"/>
  <c r="BG40" i="26"/>
  <c r="I41" i="26"/>
  <c r="J41" i="26"/>
  <c r="K41" i="26"/>
  <c r="L41" i="26"/>
  <c r="M41" i="26"/>
  <c r="N41" i="26"/>
  <c r="O41" i="26"/>
  <c r="P41" i="26"/>
  <c r="Q41" i="26"/>
  <c r="R41" i="26"/>
  <c r="S41" i="26"/>
  <c r="T41" i="26"/>
  <c r="U41" i="26"/>
  <c r="V41" i="26"/>
  <c r="W41" i="26"/>
  <c r="X41" i="26"/>
  <c r="Y41" i="26"/>
  <c r="Z41" i="26"/>
  <c r="AA41" i="26"/>
  <c r="AB41" i="26"/>
  <c r="AC41" i="26"/>
  <c r="AD41" i="26"/>
  <c r="AE41" i="26"/>
  <c r="AF41" i="26"/>
  <c r="AG41" i="26"/>
  <c r="AH41" i="26"/>
  <c r="AI41" i="26"/>
  <c r="AJ41" i="26"/>
  <c r="AK41" i="26"/>
  <c r="AL41" i="26"/>
  <c r="AM41" i="26"/>
  <c r="AN41" i="26"/>
  <c r="AO41" i="26"/>
  <c r="AP41" i="26"/>
  <c r="AQ41" i="26"/>
  <c r="AR41" i="26"/>
  <c r="AS41" i="26"/>
  <c r="AT41" i="26"/>
  <c r="AU41" i="26"/>
  <c r="AV41" i="26"/>
  <c r="AW41" i="26"/>
  <c r="AX41" i="26"/>
  <c r="AY41" i="26"/>
  <c r="AZ41" i="26"/>
  <c r="BA41" i="26"/>
  <c r="BB41" i="26"/>
  <c r="BC41" i="26"/>
  <c r="BD41" i="26"/>
  <c r="BE41" i="26"/>
  <c r="BF41" i="26"/>
  <c r="BG41" i="26"/>
  <c r="I42" i="26"/>
  <c r="J42" i="26"/>
  <c r="K42" i="26"/>
  <c r="L42" i="26"/>
  <c r="M42" i="26"/>
  <c r="N42" i="26"/>
  <c r="O42" i="26"/>
  <c r="P42" i="26"/>
  <c r="Q42" i="26"/>
  <c r="R42" i="26"/>
  <c r="S42" i="26"/>
  <c r="T42" i="26"/>
  <c r="U42" i="26"/>
  <c r="V42" i="26"/>
  <c r="W42" i="26"/>
  <c r="X42" i="26"/>
  <c r="Y42" i="26"/>
  <c r="Z42" i="26"/>
  <c r="AA42" i="26"/>
  <c r="AB42" i="26"/>
  <c r="AC42" i="26"/>
  <c r="AD42" i="26"/>
  <c r="AE42" i="26"/>
  <c r="AF42" i="26"/>
  <c r="AG42" i="26"/>
  <c r="AH42" i="26"/>
  <c r="AI42" i="26"/>
  <c r="AJ42" i="26"/>
  <c r="AK42" i="26"/>
  <c r="AL42" i="26"/>
  <c r="AM42" i="26"/>
  <c r="AN42" i="26"/>
  <c r="AO42" i="26"/>
  <c r="AP42" i="26"/>
  <c r="AQ42" i="26"/>
  <c r="AR42" i="26"/>
  <c r="AS42" i="26"/>
  <c r="AT42" i="26"/>
  <c r="AU42" i="26"/>
  <c r="AV42" i="26"/>
  <c r="AW42" i="26"/>
  <c r="AX42" i="26"/>
  <c r="AY42" i="26"/>
  <c r="AZ42" i="26"/>
  <c r="BA42" i="26"/>
  <c r="BB42" i="26"/>
  <c r="BC42" i="26"/>
  <c r="BD42" i="26"/>
  <c r="BE42" i="26"/>
  <c r="BF42" i="26"/>
  <c r="BG42" i="26"/>
  <c r="I43" i="26"/>
  <c r="J43" i="26"/>
  <c r="K43" i="26"/>
  <c r="L43" i="26"/>
  <c r="M43" i="26"/>
  <c r="N43" i="26"/>
  <c r="O43" i="26"/>
  <c r="P43" i="26"/>
  <c r="Q43" i="26"/>
  <c r="R43" i="26"/>
  <c r="S43" i="26"/>
  <c r="T43" i="26"/>
  <c r="U43" i="26"/>
  <c r="V43" i="26"/>
  <c r="W43" i="26"/>
  <c r="X43" i="26"/>
  <c r="Y43" i="26"/>
  <c r="Z43" i="26"/>
  <c r="AA43" i="26"/>
  <c r="AB43" i="26"/>
  <c r="AC43" i="26"/>
  <c r="AD43" i="26"/>
  <c r="AE43" i="26"/>
  <c r="AF43" i="26"/>
  <c r="AG43" i="26"/>
  <c r="AH43" i="26"/>
  <c r="AI43" i="26"/>
  <c r="AJ43" i="26"/>
  <c r="AK43" i="26"/>
  <c r="AL43" i="26"/>
  <c r="AM43" i="26"/>
  <c r="AN43" i="26"/>
  <c r="AO43" i="26"/>
  <c r="AP43" i="26"/>
  <c r="AQ43" i="26"/>
  <c r="AR43" i="26"/>
  <c r="AS43" i="26"/>
  <c r="AT43" i="26"/>
  <c r="AU43" i="26"/>
  <c r="AV43" i="26"/>
  <c r="AW43" i="26"/>
  <c r="AX43" i="26"/>
  <c r="AY43" i="26"/>
  <c r="AZ43" i="26"/>
  <c r="BA43" i="26"/>
  <c r="BB43" i="26"/>
  <c r="BC43" i="26"/>
  <c r="BD43" i="26"/>
  <c r="BE43" i="26"/>
  <c r="BF43" i="26"/>
  <c r="BG43" i="26"/>
  <c r="I44" i="26"/>
  <c r="J44" i="26"/>
  <c r="K44" i="26"/>
  <c r="L44" i="26"/>
  <c r="M44" i="26"/>
  <c r="N44" i="26"/>
  <c r="O44" i="26"/>
  <c r="P44" i="26"/>
  <c r="Q44" i="26"/>
  <c r="R44" i="26"/>
  <c r="S44" i="26"/>
  <c r="T44" i="26"/>
  <c r="U44" i="26"/>
  <c r="V44" i="26"/>
  <c r="W44" i="26"/>
  <c r="X44" i="26"/>
  <c r="Y44" i="26"/>
  <c r="Z44" i="26"/>
  <c r="AA44" i="26"/>
  <c r="AB44" i="26"/>
  <c r="AC44" i="26"/>
  <c r="AD44" i="26"/>
  <c r="AE44" i="26"/>
  <c r="AF44" i="26"/>
  <c r="AG44" i="26"/>
  <c r="AH44" i="26"/>
  <c r="AI44" i="26"/>
  <c r="AJ44" i="26"/>
  <c r="AK44" i="26"/>
  <c r="AL44" i="26"/>
  <c r="AM44" i="26"/>
  <c r="AN44" i="26"/>
  <c r="AO44" i="26"/>
  <c r="AP44" i="26"/>
  <c r="AQ44" i="26"/>
  <c r="AR44" i="26"/>
  <c r="AS44" i="26"/>
  <c r="AT44" i="26"/>
  <c r="AU44" i="26"/>
  <c r="AV44" i="26"/>
  <c r="AW44" i="26"/>
  <c r="AX44" i="26"/>
  <c r="AY44" i="26"/>
  <c r="AZ44" i="26"/>
  <c r="BA44" i="26"/>
  <c r="BB44" i="26"/>
  <c r="BC44" i="26"/>
  <c r="BD44" i="26"/>
  <c r="BE44" i="26"/>
  <c r="BF44" i="26"/>
  <c r="BG44" i="26"/>
  <c r="I45" i="26"/>
  <c r="J45" i="26"/>
  <c r="K45" i="26"/>
  <c r="L45" i="26"/>
  <c r="M45" i="26"/>
  <c r="N45" i="26"/>
  <c r="O45" i="26"/>
  <c r="P45" i="26"/>
  <c r="Q45" i="26"/>
  <c r="R45" i="26"/>
  <c r="S45" i="26"/>
  <c r="T45" i="26"/>
  <c r="U45" i="26"/>
  <c r="V45" i="26"/>
  <c r="W45" i="26"/>
  <c r="X45" i="26"/>
  <c r="Y45" i="26"/>
  <c r="Z45" i="26"/>
  <c r="AA45" i="26"/>
  <c r="AB45" i="26"/>
  <c r="AC45" i="26"/>
  <c r="AD45" i="26"/>
  <c r="AE45" i="26"/>
  <c r="AF45" i="26"/>
  <c r="AG45" i="26"/>
  <c r="AH45" i="26"/>
  <c r="AI45" i="26"/>
  <c r="AJ45" i="26"/>
  <c r="AK45" i="26"/>
  <c r="AL45" i="26"/>
  <c r="AM45" i="26"/>
  <c r="AN45" i="26"/>
  <c r="AO45" i="26"/>
  <c r="AP45" i="26"/>
  <c r="AQ45" i="26"/>
  <c r="AR45" i="26"/>
  <c r="AS45" i="26"/>
  <c r="AT45" i="26"/>
  <c r="AU45" i="26"/>
  <c r="AV45" i="26"/>
  <c r="AW45" i="26"/>
  <c r="AX45" i="26"/>
  <c r="AY45" i="26"/>
  <c r="AZ45" i="26"/>
  <c r="BA45" i="26"/>
  <c r="BB45" i="26"/>
  <c r="BC45" i="26"/>
  <c r="BD45" i="26"/>
  <c r="BE45" i="26"/>
  <c r="BF45" i="26"/>
  <c r="BG45" i="26"/>
  <c r="I46" i="26"/>
  <c r="J46" i="26"/>
  <c r="K46" i="26"/>
  <c r="L46" i="26"/>
  <c r="M46" i="26"/>
  <c r="N46" i="26"/>
  <c r="O46" i="26"/>
  <c r="P46" i="26"/>
  <c r="Q46" i="26"/>
  <c r="R46" i="26"/>
  <c r="S46" i="26"/>
  <c r="T46" i="26"/>
  <c r="U46" i="26"/>
  <c r="V46" i="26"/>
  <c r="W46" i="26"/>
  <c r="X46" i="26"/>
  <c r="Y46" i="26"/>
  <c r="Z46" i="26"/>
  <c r="AA46" i="26"/>
  <c r="AB46" i="26"/>
  <c r="AC46" i="26"/>
  <c r="AD46" i="26"/>
  <c r="AE46" i="26"/>
  <c r="AF46" i="26"/>
  <c r="AG46" i="26"/>
  <c r="AH46" i="26"/>
  <c r="AI46" i="26"/>
  <c r="AJ46" i="26"/>
  <c r="AK46" i="26"/>
  <c r="AL46" i="26"/>
  <c r="AM46" i="26"/>
  <c r="AN46" i="26"/>
  <c r="AO46" i="26"/>
  <c r="AP46" i="26"/>
  <c r="AQ46" i="26"/>
  <c r="AR46" i="26"/>
  <c r="AS46" i="26"/>
  <c r="AT46" i="26"/>
  <c r="AU46" i="26"/>
  <c r="AV46" i="26"/>
  <c r="AW46" i="26"/>
  <c r="AX46" i="26"/>
  <c r="AY46" i="26"/>
  <c r="AZ46" i="26"/>
  <c r="BA46" i="26"/>
  <c r="BB46" i="26"/>
  <c r="BC46" i="26"/>
  <c r="BD46" i="26"/>
  <c r="BE46" i="26"/>
  <c r="BF46" i="26"/>
  <c r="BG46" i="26"/>
  <c r="I47" i="26"/>
  <c r="J47" i="26"/>
  <c r="K47" i="26"/>
  <c r="L47" i="26"/>
  <c r="M47" i="26"/>
  <c r="N47" i="26"/>
  <c r="O47" i="26"/>
  <c r="P47" i="26"/>
  <c r="Q47" i="26"/>
  <c r="R47" i="26"/>
  <c r="S47" i="26"/>
  <c r="T47" i="26"/>
  <c r="U47" i="26"/>
  <c r="V47" i="26"/>
  <c r="W47" i="26"/>
  <c r="X47" i="26"/>
  <c r="Y47" i="26"/>
  <c r="Z47" i="26"/>
  <c r="AA47" i="26"/>
  <c r="AB47" i="26"/>
  <c r="AC47" i="26"/>
  <c r="AD47" i="26"/>
  <c r="AE47" i="26"/>
  <c r="AF47" i="26"/>
  <c r="AG47" i="26"/>
  <c r="AH47" i="26"/>
  <c r="AI47" i="26"/>
  <c r="AJ47" i="26"/>
  <c r="AK47" i="26"/>
  <c r="AL47" i="26"/>
  <c r="AM47" i="26"/>
  <c r="AN47" i="26"/>
  <c r="AO47" i="26"/>
  <c r="AP47" i="26"/>
  <c r="AQ47" i="26"/>
  <c r="AR47" i="26"/>
  <c r="AS47" i="26"/>
  <c r="AT47" i="26"/>
  <c r="AU47" i="26"/>
  <c r="AV47" i="26"/>
  <c r="AW47" i="26"/>
  <c r="AX47" i="26"/>
  <c r="AY47" i="26"/>
  <c r="AZ47" i="26"/>
  <c r="BA47" i="26"/>
  <c r="BB47" i="26"/>
  <c r="BC47" i="26"/>
  <c r="BD47" i="26"/>
  <c r="BE47" i="26"/>
  <c r="BF47" i="26"/>
  <c r="BG47" i="26"/>
  <c r="I48" i="26"/>
  <c r="J48" i="26"/>
  <c r="K48" i="26"/>
  <c r="L48" i="26"/>
  <c r="M48" i="26"/>
  <c r="N48" i="26"/>
  <c r="O48" i="26"/>
  <c r="P48" i="26"/>
  <c r="Q48" i="26"/>
  <c r="R48" i="26"/>
  <c r="S48" i="26"/>
  <c r="T48" i="26"/>
  <c r="U48" i="26"/>
  <c r="V48" i="26"/>
  <c r="W48" i="26"/>
  <c r="X48" i="26"/>
  <c r="Y48" i="26"/>
  <c r="Z48" i="26"/>
  <c r="AA48" i="26"/>
  <c r="AB48" i="26"/>
  <c r="AC48" i="26"/>
  <c r="AD48" i="26"/>
  <c r="AE48" i="26"/>
  <c r="AF48" i="26"/>
  <c r="AG48" i="26"/>
  <c r="AH48" i="26"/>
  <c r="AI48" i="26"/>
  <c r="AJ48" i="26"/>
  <c r="AK48" i="26"/>
  <c r="AL48" i="26"/>
  <c r="AM48" i="26"/>
  <c r="AN48" i="26"/>
  <c r="AO48" i="26"/>
  <c r="AP48" i="26"/>
  <c r="AQ48" i="26"/>
  <c r="AR48" i="26"/>
  <c r="AS48" i="26"/>
  <c r="AT48" i="26"/>
  <c r="AU48" i="26"/>
  <c r="AV48" i="26"/>
  <c r="AW48" i="26"/>
  <c r="AX48" i="26"/>
  <c r="AY48" i="26"/>
  <c r="AZ48" i="26"/>
  <c r="BA48" i="26"/>
  <c r="BB48" i="26"/>
  <c r="BC48" i="26"/>
  <c r="BD48" i="26"/>
  <c r="BE48" i="26"/>
  <c r="BF48" i="26"/>
  <c r="BG48" i="26"/>
  <c r="I49" i="26"/>
  <c r="J49" i="26"/>
  <c r="K49" i="26"/>
  <c r="L49" i="26"/>
  <c r="M49" i="26"/>
  <c r="N49" i="26"/>
  <c r="O49" i="26"/>
  <c r="P49" i="26"/>
  <c r="Q49" i="26"/>
  <c r="R49" i="26"/>
  <c r="S49" i="26"/>
  <c r="T49" i="26"/>
  <c r="U49" i="26"/>
  <c r="V49" i="26"/>
  <c r="W49" i="26"/>
  <c r="X49" i="26"/>
  <c r="Y49" i="26"/>
  <c r="Z49" i="26"/>
  <c r="AA49" i="26"/>
  <c r="AB49" i="26"/>
  <c r="AC49" i="26"/>
  <c r="AD49" i="26"/>
  <c r="AE49" i="26"/>
  <c r="AF49" i="26"/>
  <c r="AG49" i="26"/>
  <c r="AH49" i="26"/>
  <c r="AI49" i="26"/>
  <c r="AJ49" i="26"/>
  <c r="AK49" i="26"/>
  <c r="AL49" i="26"/>
  <c r="AM49" i="26"/>
  <c r="AN49" i="26"/>
  <c r="AO49" i="26"/>
  <c r="AP49" i="26"/>
  <c r="AQ49" i="26"/>
  <c r="AR49" i="26"/>
  <c r="AS49" i="26"/>
  <c r="AT49" i="26"/>
  <c r="AU49" i="26"/>
  <c r="AV49" i="26"/>
  <c r="AW49" i="26"/>
  <c r="AX49" i="26"/>
  <c r="AY49" i="26"/>
  <c r="AZ49" i="26"/>
  <c r="BA49" i="26"/>
  <c r="BB49" i="26"/>
  <c r="BC49" i="26"/>
  <c r="BD49" i="26"/>
  <c r="BE49" i="26"/>
  <c r="BF49" i="26"/>
  <c r="BG49" i="26"/>
  <c r="I50" i="26"/>
  <c r="J50" i="26"/>
  <c r="K50" i="26"/>
  <c r="L50" i="26"/>
  <c r="M50" i="26"/>
  <c r="N50" i="26"/>
  <c r="O50" i="26"/>
  <c r="P50" i="26"/>
  <c r="Q50" i="26"/>
  <c r="R50" i="26"/>
  <c r="S50" i="26"/>
  <c r="T50" i="26"/>
  <c r="U50" i="26"/>
  <c r="V50" i="26"/>
  <c r="W50" i="26"/>
  <c r="X50" i="26"/>
  <c r="Y50" i="26"/>
  <c r="Z50" i="26"/>
  <c r="AA50" i="26"/>
  <c r="AB50" i="26"/>
  <c r="AC50" i="26"/>
  <c r="AD50" i="26"/>
  <c r="AE50" i="26"/>
  <c r="AF50" i="26"/>
  <c r="AG50" i="26"/>
  <c r="AH50" i="26"/>
  <c r="AI50" i="26"/>
  <c r="AJ50" i="26"/>
  <c r="AK50" i="26"/>
  <c r="AL50" i="26"/>
  <c r="AM50" i="26"/>
  <c r="AN50" i="26"/>
  <c r="AO50" i="26"/>
  <c r="AP50" i="26"/>
  <c r="AQ50" i="26"/>
  <c r="AR50" i="26"/>
  <c r="AS50" i="26"/>
  <c r="AT50" i="26"/>
  <c r="AU50" i="26"/>
  <c r="AV50" i="26"/>
  <c r="AW50" i="26"/>
  <c r="AX50" i="26"/>
  <c r="AY50" i="26"/>
  <c r="AZ50" i="26"/>
  <c r="BA50" i="26"/>
  <c r="BB50" i="26"/>
  <c r="BC50" i="26"/>
  <c r="BD50" i="26"/>
  <c r="BE50" i="26"/>
  <c r="BF50" i="26"/>
  <c r="BG50" i="26"/>
  <c r="I51" i="26"/>
  <c r="J51" i="26"/>
  <c r="K51" i="26"/>
  <c r="L51" i="26"/>
  <c r="M51" i="26"/>
  <c r="N51" i="26"/>
  <c r="O51" i="26"/>
  <c r="P51" i="26"/>
  <c r="Q51" i="26"/>
  <c r="R51" i="26"/>
  <c r="S51" i="26"/>
  <c r="T51" i="26"/>
  <c r="U51" i="26"/>
  <c r="V51" i="26"/>
  <c r="W51" i="26"/>
  <c r="X51" i="26"/>
  <c r="Y51" i="26"/>
  <c r="Z51" i="26"/>
  <c r="AA51" i="26"/>
  <c r="AB51" i="26"/>
  <c r="AC51" i="26"/>
  <c r="AD51" i="26"/>
  <c r="AE51" i="26"/>
  <c r="AF51" i="26"/>
  <c r="AG51" i="26"/>
  <c r="AH51" i="26"/>
  <c r="AI51" i="26"/>
  <c r="AJ51" i="26"/>
  <c r="AK51" i="26"/>
  <c r="AL51" i="26"/>
  <c r="AM51" i="26"/>
  <c r="AN51" i="26"/>
  <c r="AO51" i="26"/>
  <c r="AP51" i="26"/>
  <c r="AQ51" i="26"/>
  <c r="AR51" i="26"/>
  <c r="AS51" i="26"/>
  <c r="AT51" i="26"/>
  <c r="AU51" i="26"/>
  <c r="AV51" i="26"/>
  <c r="AW51" i="26"/>
  <c r="AX51" i="26"/>
  <c r="AY51" i="26"/>
  <c r="AZ51" i="26"/>
  <c r="BA51" i="26"/>
  <c r="BB51" i="26"/>
  <c r="BC51" i="26"/>
  <c r="BD51" i="26"/>
  <c r="BE51" i="26"/>
  <c r="BF51" i="26"/>
  <c r="BG51" i="26"/>
  <c r="I52" i="26"/>
  <c r="J52" i="26"/>
  <c r="K52" i="26"/>
  <c r="L52" i="26"/>
  <c r="M52" i="26"/>
  <c r="N52" i="26"/>
  <c r="O52" i="26"/>
  <c r="P52" i="26"/>
  <c r="Q52" i="26"/>
  <c r="R52" i="26"/>
  <c r="S52" i="26"/>
  <c r="T52" i="26"/>
  <c r="U52" i="26"/>
  <c r="V52" i="26"/>
  <c r="W52" i="26"/>
  <c r="X52" i="26"/>
  <c r="Y52" i="26"/>
  <c r="Z52" i="26"/>
  <c r="AA52" i="26"/>
  <c r="AB52" i="26"/>
  <c r="AC52" i="26"/>
  <c r="AD52" i="26"/>
  <c r="AE52" i="26"/>
  <c r="AF52" i="26"/>
  <c r="AG52" i="26"/>
  <c r="AH52" i="26"/>
  <c r="AI52" i="26"/>
  <c r="AJ52" i="26"/>
  <c r="AK52" i="26"/>
  <c r="AL52" i="26"/>
  <c r="AM52" i="26"/>
  <c r="AN52" i="26"/>
  <c r="AO52" i="26"/>
  <c r="AP52" i="26"/>
  <c r="AQ52" i="26"/>
  <c r="AR52" i="26"/>
  <c r="AS52" i="26"/>
  <c r="AT52" i="26"/>
  <c r="AU52" i="26"/>
  <c r="AV52" i="26"/>
  <c r="AW52" i="26"/>
  <c r="AX52" i="26"/>
  <c r="AY52" i="26"/>
  <c r="AZ52" i="26"/>
  <c r="BA52" i="26"/>
  <c r="BB52" i="26"/>
  <c r="BC52" i="26"/>
  <c r="BD52" i="26"/>
  <c r="BE52" i="26"/>
  <c r="BF52" i="26"/>
  <c r="BG52" i="26"/>
  <c r="I53" i="26"/>
  <c r="J53" i="26"/>
  <c r="K53" i="26"/>
  <c r="L53" i="26"/>
  <c r="M53" i="26"/>
  <c r="N53" i="26"/>
  <c r="O53" i="26"/>
  <c r="P53" i="26"/>
  <c r="Q53" i="26"/>
  <c r="R53" i="26"/>
  <c r="S53" i="26"/>
  <c r="T53" i="26"/>
  <c r="U53" i="26"/>
  <c r="V53" i="26"/>
  <c r="W53" i="26"/>
  <c r="X53" i="26"/>
  <c r="Y53" i="26"/>
  <c r="Z53" i="26"/>
  <c r="AA53" i="26"/>
  <c r="AB53" i="26"/>
  <c r="AC53" i="26"/>
  <c r="AD53" i="26"/>
  <c r="AE53" i="26"/>
  <c r="AF53" i="26"/>
  <c r="AG53" i="26"/>
  <c r="AH53" i="26"/>
  <c r="AI53" i="26"/>
  <c r="AJ53" i="26"/>
  <c r="AK53" i="26"/>
  <c r="AL53" i="26"/>
  <c r="AM53" i="26"/>
  <c r="AN53" i="26"/>
  <c r="AO53" i="26"/>
  <c r="AP53" i="26"/>
  <c r="AQ53" i="26"/>
  <c r="AR53" i="26"/>
  <c r="AS53" i="26"/>
  <c r="AT53" i="26"/>
  <c r="AU53" i="26"/>
  <c r="AV53" i="26"/>
  <c r="AW53" i="26"/>
  <c r="AX53" i="26"/>
  <c r="AY53" i="26"/>
  <c r="AZ53" i="26"/>
  <c r="BA53" i="26"/>
  <c r="BB53" i="26"/>
  <c r="BC53" i="26"/>
  <c r="BD53" i="26"/>
  <c r="BE53" i="26"/>
  <c r="BF53" i="26"/>
  <c r="BG53" i="26"/>
  <c r="I54" i="26"/>
  <c r="J54" i="26"/>
  <c r="K54" i="26"/>
  <c r="L54" i="26"/>
  <c r="M54" i="26"/>
  <c r="N54" i="26"/>
  <c r="O54" i="26"/>
  <c r="P54" i="26"/>
  <c r="Q54" i="26"/>
  <c r="R54" i="26"/>
  <c r="S54" i="26"/>
  <c r="T54" i="26"/>
  <c r="U54" i="26"/>
  <c r="V54" i="26"/>
  <c r="W54" i="26"/>
  <c r="X54" i="26"/>
  <c r="Y54" i="26"/>
  <c r="Z54" i="26"/>
  <c r="AA54" i="26"/>
  <c r="AB54" i="26"/>
  <c r="AC54" i="26"/>
  <c r="AD54" i="26"/>
  <c r="AE54" i="26"/>
  <c r="AF54" i="26"/>
  <c r="AG54" i="26"/>
  <c r="AH54" i="26"/>
  <c r="AI54" i="26"/>
  <c r="AJ54" i="26"/>
  <c r="AK54" i="26"/>
  <c r="AL54" i="26"/>
  <c r="AM54" i="26"/>
  <c r="AN54" i="26"/>
  <c r="AO54" i="26"/>
  <c r="AP54" i="26"/>
  <c r="AQ54" i="26"/>
  <c r="AR54" i="26"/>
  <c r="AS54" i="26"/>
  <c r="AT54" i="26"/>
  <c r="AU54" i="26"/>
  <c r="AV54" i="26"/>
  <c r="AW54" i="26"/>
  <c r="AX54" i="26"/>
  <c r="AY54" i="26"/>
  <c r="AZ54" i="26"/>
  <c r="BA54" i="26"/>
  <c r="BB54" i="26"/>
  <c r="BC54" i="26"/>
  <c r="BD54" i="26"/>
  <c r="BE54" i="26"/>
  <c r="BF54" i="26"/>
  <c r="BG54" i="26"/>
  <c r="I55" i="26"/>
  <c r="J55" i="26"/>
  <c r="K55" i="26"/>
  <c r="L55" i="26"/>
  <c r="M55" i="26"/>
  <c r="N55" i="26"/>
  <c r="O55" i="26"/>
  <c r="P55" i="26"/>
  <c r="Q55" i="26"/>
  <c r="R55" i="26"/>
  <c r="S55" i="26"/>
  <c r="T55" i="26"/>
  <c r="U55" i="26"/>
  <c r="V55" i="26"/>
  <c r="W55" i="26"/>
  <c r="X55" i="26"/>
  <c r="Y55" i="26"/>
  <c r="Z55" i="26"/>
  <c r="AA55" i="26"/>
  <c r="AB55" i="26"/>
  <c r="AC55" i="26"/>
  <c r="AD55" i="26"/>
  <c r="AE55" i="26"/>
  <c r="AF55" i="26"/>
  <c r="AG55" i="26"/>
  <c r="AH55" i="26"/>
  <c r="AI55" i="26"/>
  <c r="AJ55" i="26"/>
  <c r="AK55" i="26"/>
  <c r="AL55" i="26"/>
  <c r="AM55" i="26"/>
  <c r="AN55" i="26"/>
  <c r="AO55" i="26"/>
  <c r="AP55" i="26"/>
  <c r="AQ55" i="26"/>
  <c r="AR55" i="26"/>
  <c r="AS55" i="26"/>
  <c r="AT55" i="26"/>
  <c r="AU55" i="26"/>
  <c r="AV55" i="26"/>
  <c r="AW55" i="26"/>
  <c r="AX55" i="26"/>
  <c r="AY55" i="26"/>
  <c r="AZ55" i="26"/>
  <c r="BA55" i="26"/>
  <c r="BB55" i="26"/>
  <c r="BC55" i="26"/>
  <c r="BD55" i="26"/>
  <c r="BE55" i="26"/>
  <c r="BF55" i="26"/>
  <c r="BG55" i="26"/>
  <c r="I56" i="26"/>
  <c r="J56" i="26"/>
  <c r="K56" i="26"/>
  <c r="L56" i="26"/>
  <c r="M56" i="26"/>
  <c r="N56" i="26"/>
  <c r="O56" i="26"/>
  <c r="P56" i="26"/>
  <c r="Q56" i="26"/>
  <c r="R56" i="26"/>
  <c r="S56" i="26"/>
  <c r="T56" i="26"/>
  <c r="U56" i="26"/>
  <c r="V56" i="26"/>
  <c r="W56" i="26"/>
  <c r="X56" i="26"/>
  <c r="Y56" i="26"/>
  <c r="Z56" i="26"/>
  <c r="AA56" i="26"/>
  <c r="AB56" i="26"/>
  <c r="AC56" i="26"/>
  <c r="AD56" i="26"/>
  <c r="AE56" i="26"/>
  <c r="AF56" i="26"/>
  <c r="AG56" i="26"/>
  <c r="AH56" i="26"/>
  <c r="AI56" i="26"/>
  <c r="AJ56" i="26"/>
  <c r="AK56" i="26"/>
  <c r="AL56" i="26"/>
  <c r="AM56" i="26"/>
  <c r="AN56" i="26"/>
  <c r="AO56" i="26"/>
  <c r="AP56" i="26"/>
  <c r="AQ56" i="26"/>
  <c r="AR56" i="26"/>
  <c r="AS56" i="26"/>
  <c r="AT56" i="26"/>
  <c r="AU56" i="26"/>
  <c r="AV56" i="26"/>
  <c r="AW56" i="26"/>
  <c r="AX56" i="26"/>
  <c r="AY56" i="26"/>
  <c r="AZ56" i="26"/>
  <c r="BA56" i="26"/>
  <c r="BB56" i="26"/>
  <c r="BC56" i="26"/>
  <c r="BD56" i="26"/>
  <c r="BE56" i="26"/>
  <c r="BF56" i="26"/>
  <c r="BG56" i="26"/>
  <c r="I57" i="26"/>
  <c r="J57" i="26"/>
  <c r="K57" i="26"/>
  <c r="L57" i="26"/>
  <c r="M57" i="26"/>
  <c r="N57" i="26"/>
  <c r="O57" i="26"/>
  <c r="P57" i="26"/>
  <c r="Q57" i="26"/>
  <c r="R57" i="26"/>
  <c r="S57" i="26"/>
  <c r="T57" i="26"/>
  <c r="U57" i="26"/>
  <c r="V57" i="26"/>
  <c r="W57" i="26"/>
  <c r="X57" i="26"/>
  <c r="Y57" i="26"/>
  <c r="Z57" i="26"/>
  <c r="AA57" i="26"/>
  <c r="AB57" i="26"/>
  <c r="AC57" i="26"/>
  <c r="AD57" i="26"/>
  <c r="AE57" i="26"/>
  <c r="AF57" i="26"/>
  <c r="AG57" i="26"/>
  <c r="AH57" i="26"/>
  <c r="AI57" i="26"/>
  <c r="AJ57" i="26"/>
  <c r="AK57" i="26"/>
  <c r="AL57" i="26"/>
  <c r="AM57" i="26"/>
  <c r="AN57" i="26"/>
  <c r="AO57" i="26"/>
  <c r="AP57" i="26"/>
  <c r="AQ57" i="26"/>
  <c r="AR57" i="26"/>
  <c r="AS57" i="26"/>
  <c r="AT57" i="26"/>
  <c r="AU57" i="26"/>
  <c r="AV57" i="26"/>
  <c r="AW57" i="26"/>
  <c r="AX57" i="26"/>
  <c r="AY57" i="26"/>
  <c r="AZ57" i="26"/>
  <c r="BA57" i="26"/>
  <c r="BB57" i="26"/>
  <c r="BC57" i="26"/>
  <c r="BD57" i="26"/>
  <c r="BE57" i="26"/>
  <c r="BF57" i="26"/>
  <c r="BG57" i="26"/>
  <c r="I58" i="26"/>
  <c r="J58" i="26"/>
  <c r="K58" i="26"/>
  <c r="L58" i="26"/>
  <c r="M58" i="26"/>
  <c r="N58" i="26"/>
  <c r="O58" i="26"/>
  <c r="P58" i="26"/>
  <c r="Q58" i="26"/>
  <c r="R58" i="26"/>
  <c r="S58" i="26"/>
  <c r="T58" i="26"/>
  <c r="U58" i="26"/>
  <c r="V58" i="26"/>
  <c r="W58" i="26"/>
  <c r="X58" i="26"/>
  <c r="Y58" i="26"/>
  <c r="Z58" i="26"/>
  <c r="AA58" i="26"/>
  <c r="AB58" i="26"/>
  <c r="AC58" i="26"/>
  <c r="AD58" i="26"/>
  <c r="AE58" i="26"/>
  <c r="AF58" i="26"/>
  <c r="AG58" i="26"/>
  <c r="AH58" i="26"/>
  <c r="AI58" i="26"/>
  <c r="AJ58" i="26"/>
  <c r="AK58" i="26"/>
  <c r="AL58" i="26"/>
  <c r="AM58" i="26"/>
  <c r="AN58" i="26"/>
  <c r="AO58" i="26"/>
  <c r="AP58" i="26"/>
  <c r="AQ58" i="26"/>
  <c r="AR58" i="26"/>
  <c r="AS58" i="26"/>
  <c r="AT58" i="26"/>
  <c r="AU58" i="26"/>
  <c r="AV58" i="26"/>
  <c r="AW58" i="26"/>
  <c r="AX58" i="26"/>
  <c r="AY58" i="26"/>
  <c r="AZ58" i="26"/>
  <c r="BA58" i="26"/>
  <c r="BB58" i="26"/>
  <c r="BC58" i="26"/>
  <c r="BD58" i="26"/>
  <c r="BE58" i="26"/>
  <c r="BF58" i="26"/>
  <c r="BG58" i="26"/>
  <c r="I59" i="26"/>
  <c r="J59" i="26"/>
  <c r="K59" i="26"/>
  <c r="L59" i="26"/>
  <c r="M59" i="26"/>
  <c r="N59" i="26"/>
  <c r="O59" i="26"/>
  <c r="P59" i="26"/>
  <c r="Q59" i="26"/>
  <c r="R59" i="26"/>
  <c r="S59" i="26"/>
  <c r="T59" i="26"/>
  <c r="U59" i="26"/>
  <c r="V59" i="26"/>
  <c r="W59" i="26"/>
  <c r="X59" i="26"/>
  <c r="Y59" i="26"/>
  <c r="Z59" i="26"/>
  <c r="AA59" i="26"/>
  <c r="AB59" i="26"/>
  <c r="AC59" i="26"/>
  <c r="AD59" i="26"/>
  <c r="AE59" i="26"/>
  <c r="AF59" i="26"/>
  <c r="AG59" i="26"/>
  <c r="AH59" i="26"/>
  <c r="AI59" i="26"/>
  <c r="AJ59" i="26"/>
  <c r="AK59" i="26"/>
  <c r="AL59" i="26"/>
  <c r="AM59" i="26"/>
  <c r="AN59" i="26"/>
  <c r="AO59" i="26"/>
  <c r="AP59" i="26"/>
  <c r="AQ59" i="26"/>
  <c r="AR59" i="26"/>
  <c r="AS59" i="26"/>
  <c r="AT59" i="26"/>
  <c r="AU59" i="26"/>
  <c r="AV59" i="26"/>
  <c r="AW59" i="26"/>
  <c r="AX59" i="26"/>
  <c r="AY59" i="26"/>
  <c r="AZ59" i="26"/>
  <c r="BA59" i="26"/>
  <c r="BB59" i="26"/>
  <c r="BC59" i="26"/>
  <c r="BD59" i="26"/>
  <c r="BE59" i="26"/>
  <c r="BF59" i="26"/>
  <c r="BG59" i="26"/>
  <c r="I60" i="26"/>
  <c r="J60" i="26"/>
  <c r="K60" i="26"/>
  <c r="L60" i="26"/>
  <c r="M60" i="26"/>
  <c r="N60" i="26"/>
  <c r="O60" i="26"/>
  <c r="P60" i="26"/>
  <c r="Q60" i="26"/>
  <c r="R60" i="26"/>
  <c r="S60" i="26"/>
  <c r="T60" i="26"/>
  <c r="U60" i="26"/>
  <c r="V60" i="26"/>
  <c r="W60" i="26"/>
  <c r="X60" i="26"/>
  <c r="Y60" i="26"/>
  <c r="Z60" i="26"/>
  <c r="AA60" i="26"/>
  <c r="AB60" i="26"/>
  <c r="AC60" i="26"/>
  <c r="AD60" i="26"/>
  <c r="AE60" i="26"/>
  <c r="AF60" i="26"/>
  <c r="AG60" i="26"/>
  <c r="AH60" i="26"/>
  <c r="AI60" i="26"/>
  <c r="AJ60" i="26"/>
  <c r="AK60" i="26"/>
  <c r="AL60" i="26"/>
  <c r="AM60" i="26"/>
  <c r="AN60" i="26"/>
  <c r="AO60" i="26"/>
  <c r="AP60" i="26"/>
  <c r="AQ60" i="26"/>
  <c r="AR60" i="26"/>
  <c r="AS60" i="26"/>
  <c r="AT60" i="26"/>
  <c r="AU60" i="26"/>
  <c r="AV60" i="26"/>
  <c r="AW60" i="26"/>
  <c r="AX60" i="26"/>
  <c r="AY60" i="26"/>
  <c r="AZ60" i="26"/>
  <c r="BA60" i="26"/>
  <c r="BB60" i="26"/>
  <c r="BC60" i="26"/>
  <c r="BD60" i="26"/>
  <c r="BE60" i="26"/>
  <c r="BF60" i="26"/>
  <c r="BG60" i="26"/>
  <c r="I61" i="26"/>
  <c r="J61" i="26"/>
  <c r="K61" i="26"/>
  <c r="L61" i="26"/>
  <c r="M61" i="26"/>
  <c r="N61" i="26"/>
  <c r="O61" i="26"/>
  <c r="P61" i="26"/>
  <c r="Q61" i="26"/>
  <c r="R61" i="26"/>
  <c r="S61" i="26"/>
  <c r="T61" i="26"/>
  <c r="U61" i="26"/>
  <c r="V61" i="26"/>
  <c r="W61" i="26"/>
  <c r="X61" i="26"/>
  <c r="Y61" i="26"/>
  <c r="Z61" i="26"/>
  <c r="AA61" i="26"/>
  <c r="AB61" i="26"/>
  <c r="AC61" i="26"/>
  <c r="AD61" i="26"/>
  <c r="AE61" i="26"/>
  <c r="AF61" i="26"/>
  <c r="AG61" i="26"/>
  <c r="AH61" i="26"/>
  <c r="AI61" i="26"/>
  <c r="AJ61" i="26"/>
  <c r="AK61" i="26"/>
  <c r="AL61" i="26"/>
  <c r="AM61" i="26"/>
  <c r="AN61" i="26"/>
  <c r="AO61" i="26"/>
  <c r="AP61" i="26"/>
  <c r="AQ61" i="26"/>
  <c r="AR61" i="26"/>
  <c r="AS61" i="26"/>
  <c r="AT61" i="26"/>
  <c r="AU61" i="26"/>
  <c r="AV61" i="26"/>
  <c r="AW61" i="26"/>
  <c r="AX61" i="26"/>
  <c r="AY61" i="26"/>
  <c r="AZ61" i="26"/>
  <c r="BA61" i="26"/>
  <c r="BB61" i="26"/>
  <c r="BC61" i="26"/>
  <c r="BD61" i="26"/>
  <c r="BE61" i="26"/>
  <c r="BF61" i="26"/>
  <c r="BG61" i="26"/>
  <c r="I62" i="26"/>
  <c r="J62" i="26"/>
  <c r="K62" i="26"/>
  <c r="L62" i="26"/>
  <c r="M62" i="26"/>
  <c r="N62" i="26"/>
  <c r="O62" i="26"/>
  <c r="P62" i="26"/>
  <c r="Q62" i="26"/>
  <c r="R62" i="26"/>
  <c r="S62" i="26"/>
  <c r="T62" i="26"/>
  <c r="U62" i="26"/>
  <c r="V62" i="26"/>
  <c r="W62" i="26"/>
  <c r="X62" i="26"/>
  <c r="Y62" i="26"/>
  <c r="Z62" i="26"/>
  <c r="AA62" i="26"/>
  <c r="AB62" i="26"/>
  <c r="AC62" i="26"/>
  <c r="AD62" i="26"/>
  <c r="AE62" i="26"/>
  <c r="AF62" i="26"/>
  <c r="AG62" i="26"/>
  <c r="AH62" i="26"/>
  <c r="AI62" i="26"/>
  <c r="AJ62" i="26"/>
  <c r="AK62" i="26"/>
  <c r="AL62" i="26"/>
  <c r="AM62" i="26"/>
  <c r="AN62" i="26"/>
  <c r="AO62" i="26"/>
  <c r="AP62" i="26"/>
  <c r="AQ62" i="26"/>
  <c r="AR62" i="26"/>
  <c r="AS62" i="26"/>
  <c r="AT62" i="26"/>
  <c r="AU62" i="26"/>
  <c r="AV62" i="26"/>
  <c r="AW62" i="26"/>
  <c r="AX62" i="26"/>
  <c r="AY62" i="26"/>
  <c r="AZ62" i="26"/>
  <c r="BA62" i="26"/>
  <c r="BB62" i="26"/>
  <c r="BC62" i="26"/>
  <c r="BD62" i="26"/>
  <c r="BE62" i="26"/>
  <c r="BF62" i="26"/>
  <c r="BG62" i="26"/>
  <c r="I63" i="26"/>
  <c r="J63" i="26"/>
  <c r="K63" i="26"/>
  <c r="L63" i="26"/>
  <c r="M63" i="26"/>
  <c r="N63" i="26"/>
  <c r="O63" i="26"/>
  <c r="P63" i="26"/>
  <c r="Q63" i="26"/>
  <c r="R63" i="26"/>
  <c r="S63" i="26"/>
  <c r="T63" i="26"/>
  <c r="U63" i="26"/>
  <c r="V63" i="26"/>
  <c r="W63" i="26"/>
  <c r="X63" i="26"/>
  <c r="Y63" i="26"/>
  <c r="Z63" i="26"/>
  <c r="AA63" i="26"/>
  <c r="AB63" i="26"/>
  <c r="AC63" i="26"/>
  <c r="AD63" i="26"/>
  <c r="AE63" i="26"/>
  <c r="AF63" i="26"/>
  <c r="AG63" i="26"/>
  <c r="AH63" i="26"/>
  <c r="AI63" i="26"/>
  <c r="AJ63" i="26"/>
  <c r="AK63" i="26"/>
  <c r="AL63" i="26"/>
  <c r="AM63" i="26"/>
  <c r="AN63" i="26"/>
  <c r="AO63" i="26"/>
  <c r="AP63" i="26"/>
  <c r="AQ63" i="26"/>
  <c r="AR63" i="26"/>
  <c r="AS63" i="26"/>
  <c r="AT63" i="26"/>
  <c r="AU63" i="26"/>
  <c r="AV63" i="26"/>
  <c r="AW63" i="26"/>
  <c r="AX63" i="26"/>
  <c r="AY63" i="26"/>
  <c r="AZ63" i="26"/>
  <c r="BA63" i="26"/>
  <c r="BB63" i="26"/>
  <c r="BC63" i="26"/>
  <c r="BD63" i="26"/>
  <c r="BE63" i="26"/>
  <c r="BF63" i="26"/>
  <c r="BG63" i="26"/>
  <c r="I64" i="26"/>
  <c r="J64" i="26"/>
  <c r="K64" i="26"/>
  <c r="L64" i="26"/>
  <c r="M64" i="26"/>
  <c r="N64" i="26"/>
  <c r="O64" i="26"/>
  <c r="P64" i="26"/>
  <c r="Q64" i="26"/>
  <c r="R64" i="26"/>
  <c r="S64" i="26"/>
  <c r="T64" i="26"/>
  <c r="U64" i="26"/>
  <c r="V64" i="26"/>
  <c r="W64" i="26"/>
  <c r="X64" i="26"/>
  <c r="Y64" i="26"/>
  <c r="Z64" i="26"/>
  <c r="AA64" i="26"/>
  <c r="AB64" i="26"/>
  <c r="AC64" i="26"/>
  <c r="AD64" i="26"/>
  <c r="AE64" i="26"/>
  <c r="AF64" i="26"/>
  <c r="AG64" i="26"/>
  <c r="AH64" i="26"/>
  <c r="AI64" i="26"/>
  <c r="AJ64" i="26"/>
  <c r="AK64" i="26"/>
  <c r="AL64" i="26"/>
  <c r="AM64" i="26"/>
  <c r="AN64" i="26"/>
  <c r="AO64" i="26"/>
  <c r="AP64" i="26"/>
  <c r="AQ64" i="26"/>
  <c r="AR64" i="26"/>
  <c r="AS64" i="26"/>
  <c r="AT64" i="26"/>
  <c r="AU64" i="26"/>
  <c r="AV64" i="26"/>
  <c r="AW64" i="26"/>
  <c r="AX64" i="26"/>
  <c r="AY64" i="26"/>
  <c r="AZ64" i="26"/>
  <c r="BA64" i="26"/>
  <c r="BB64" i="26"/>
  <c r="BC64" i="26"/>
  <c r="BD64" i="26"/>
  <c r="BE64" i="26"/>
  <c r="BF64" i="26"/>
  <c r="BG64" i="26"/>
  <c r="I65" i="26"/>
  <c r="J65" i="26"/>
  <c r="K65" i="26"/>
  <c r="L65" i="26"/>
  <c r="M65" i="26"/>
  <c r="N65" i="26"/>
  <c r="O65" i="26"/>
  <c r="P65" i="26"/>
  <c r="Q65" i="26"/>
  <c r="R65" i="26"/>
  <c r="S65" i="26"/>
  <c r="T65" i="26"/>
  <c r="U65" i="26"/>
  <c r="V65" i="26"/>
  <c r="W65" i="26"/>
  <c r="X65" i="26"/>
  <c r="Y65" i="26"/>
  <c r="Z65" i="26"/>
  <c r="AA65" i="26"/>
  <c r="AB65" i="26"/>
  <c r="AC65" i="26"/>
  <c r="AD65" i="26"/>
  <c r="AE65" i="26"/>
  <c r="AF65" i="26"/>
  <c r="AG65" i="26"/>
  <c r="AH65" i="26"/>
  <c r="AI65" i="26"/>
  <c r="AJ65" i="26"/>
  <c r="AK65" i="26"/>
  <c r="AL65" i="26"/>
  <c r="AM65" i="26"/>
  <c r="AN65" i="26"/>
  <c r="AO65" i="26"/>
  <c r="AP65" i="26"/>
  <c r="AQ65" i="26"/>
  <c r="AR65" i="26"/>
  <c r="AS65" i="26"/>
  <c r="AT65" i="26"/>
  <c r="AU65" i="26"/>
  <c r="AV65" i="26"/>
  <c r="AW65" i="26"/>
  <c r="AX65" i="26"/>
  <c r="AY65" i="26"/>
  <c r="AZ65" i="26"/>
  <c r="BA65" i="26"/>
  <c r="BB65" i="26"/>
  <c r="BC65" i="26"/>
  <c r="BD65" i="26"/>
  <c r="BE65" i="26"/>
  <c r="BF65" i="26"/>
  <c r="BG65" i="26"/>
  <c r="I66" i="26"/>
  <c r="J66" i="26"/>
  <c r="K66" i="26"/>
  <c r="L66" i="26"/>
  <c r="M66" i="26"/>
  <c r="N66" i="26"/>
  <c r="O66" i="26"/>
  <c r="P66" i="26"/>
  <c r="Q66" i="26"/>
  <c r="R66" i="26"/>
  <c r="S66" i="26"/>
  <c r="T66" i="26"/>
  <c r="U66" i="26"/>
  <c r="V66" i="26"/>
  <c r="W66" i="26"/>
  <c r="X66" i="26"/>
  <c r="Y66" i="26"/>
  <c r="Z66" i="26"/>
  <c r="AA66" i="26"/>
  <c r="AB66" i="26"/>
  <c r="AC66" i="26"/>
  <c r="AD66" i="26"/>
  <c r="AE66" i="26"/>
  <c r="AF66" i="26"/>
  <c r="AG66" i="26"/>
  <c r="AH66" i="26"/>
  <c r="AI66" i="26"/>
  <c r="AJ66" i="26"/>
  <c r="AK66" i="26"/>
  <c r="AL66" i="26"/>
  <c r="AM66" i="26"/>
  <c r="AN66" i="26"/>
  <c r="AO66" i="26"/>
  <c r="AP66" i="26"/>
  <c r="AQ66" i="26"/>
  <c r="AR66" i="26"/>
  <c r="AS66" i="26"/>
  <c r="AT66" i="26"/>
  <c r="AU66" i="26"/>
  <c r="AV66" i="26"/>
  <c r="AW66" i="26"/>
  <c r="AX66" i="26"/>
  <c r="AY66" i="26"/>
  <c r="AZ66" i="26"/>
  <c r="BA66" i="26"/>
  <c r="BB66" i="26"/>
  <c r="BC66" i="26"/>
  <c r="BD66" i="26"/>
  <c r="BE66" i="26"/>
  <c r="BF66" i="26"/>
  <c r="BG66" i="26"/>
  <c r="I67" i="26"/>
  <c r="J67" i="26"/>
  <c r="K67" i="26"/>
  <c r="L67" i="26"/>
  <c r="M67" i="26"/>
  <c r="N67" i="26"/>
  <c r="O67" i="26"/>
  <c r="P67" i="26"/>
  <c r="Q67" i="26"/>
  <c r="R67" i="26"/>
  <c r="S67" i="26"/>
  <c r="T67" i="26"/>
  <c r="U67" i="26"/>
  <c r="V67" i="26"/>
  <c r="W67" i="26"/>
  <c r="X67" i="26"/>
  <c r="Y67" i="26"/>
  <c r="Z67" i="26"/>
  <c r="AA67" i="26"/>
  <c r="AB67" i="26"/>
  <c r="AC67" i="26"/>
  <c r="AD67" i="26"/>
  <c r="AE67" i="26"/>
  <c r="AF67" i="26"/>
  <c r="AG67" i="26"/>
  <c r="AH67" i="26"/>
  <c r="AI67" i="26"/>
  <c r="AJ67" i="26"/>
  <c r="AK67" i="26"/>
  <c r="AL67" i="26"/>
  <c r="AM67" i="26"/>
  <c r="AN67" i="26"/>
  <c r="AO67" i="26"/>
  <c r="AP67" i="26"/>
  <c r="AQ67" i="26"/>
  <c r="AR67" i="26"/>
  <c r="AS67" i="26"/>
  <c r="AT67" i="26"/>
  <c r="AU67" i="26"/>
  <c r="AV67" i="26"/>
  <c r="AW67" i="26"/>
  <c r="AX67" i="26"/>
  <c r="AY67" i="26"/>
  <c r="AZ67" i="26"/>
  <c r="BA67" i="26"/>
  <c r="BB67" i="26"/>
  <c r="BC67" i="26"/>
  <c r="BD67" i="26"/>
  <c r="BE67" i="26"/>
  <c r="BF67" i="26"/>
  <c r="BG67" i="26"/>
  <c r="I68" i="26"/>
  <c r="J68" i="26"/>
  <c r="K68" i="26"/>
  <c r="L68" i="26"/>
  <c r="M68" i="26"/>
  <c r="N68" i="26"/>
  <c r="O68" i="26"/>
  <c r="P68" i="26"/>
  <c r="Q68" i="26"/>
  <c r="R68" i="26"/>
  <c r="S68" i="26"/>
  <c r="T68" i="26"/>
  <c r="U68" i="26"/>
  <c r="V68" i="26"/>
  <c r="W68" i="26"/>
  <c r="X68" i="26"/>
  <c r="Y68" i="26"/>
  <c r="Z68" i="26"/>
  <c r="AA68" i="26"/>
  <c r="AB68" i="26"/>
  <c r="AC68" i="26"/>
  <c r="AD68" i="26"/>
  <c r="AE68" i="26"/>
  <c r="AF68" i="26"/>
  <c r="AG68" i="26"/>
  <c r="AH68" i="26"/>
  <c r="AI68" i="26"/>
  <c r="AJ68" i="26"/>
  <c r="AK68" i="26"/>
  <c r="AL68" i="26"/>
  <c r="AM68" i="26"/>
  <c r="AN68" i="26"/>
  <c r="AO68" i="26"/>
  <c r="AP68" i="26"/>
  <c r="AQ68" i="26"/>
  <c r="AR68" i="26"/>
  <c r="AS68" i="26"/>
  <c r="AT68" i="26"/>
  <c r="AU68" i="26"/>
  <c r="AV68" i="26"/>
  <c r="AW68" i="26"/>
  <c r="AX68" i="26"/>
  <c r="AY68" i="26"/>
  <c r="AZ68" i="26"/>
  <c r="BA68" i="26"/>
  <c r="BB68" i="26"/>
  <c r="BC68" i="26"/>
  <c r="BD68" i="26"/>
  <c r="BE68" i="26"/>
  <c r="BF68" i="26"/>
  <c r="BG68" i="26"/>
  <c r="I69" i="26"/>
  <c r="J69" i="26"/>
  <c r="K69" i="26"/>
  <c r="L69" i="26"/>
  <c r="M69" i="26"/>
  <c r="N69" i="26"/>
  <c r="O69" i="26"/>
  <c r="P69" i="26"/>
  <c r="Q69" i="26"/>
  <c r="R69" i="26"/>
  <c r="S69" i="26"/>
  <c r="T69" i="26"/>
  <c r="U69" i="26"/>
  <c r="V69" i="26"/>
  <c r="W69" i="26"/>
  <c r="X69" i="26"/>
  <c r="Y69" i="26"/>
  <c r="Z69" i="26"/>
  <c r="AA69" i="26"/>
  <c r="AB69" i="26"/>
  <c r="AC69" i="26"/>
  <c r="AD69" i="26"/>
  <c r="AE69" i="26"/>
  <c r="AF69" i="26"/>
  <c r="AG69" i="26"/>
  <c r="AH69" i="26"/>
  <c r="AI69" i="26"/>
  <c r="AJ69" i="26"/>
  <c r="AK69" i="26"/>
  <c r="AL69" i="26"/>
  <c r="AM69" i="26"/>
  <c r="AN69" i="26"/>
  <c r="AO69" i="26"/>
  <c r="AP69" i="26"/>
  <c r="AQ69" i="26"/>
  <c r="AR69" i="26"/>
  <c r="AS69" i="26"/>
  <c r="AT69" i="26"/>
  <c r="AU69" i="26"/>
  <c r="AV69" i="26"/>
  <c r="AW69" i="26"/>
  <c r="AX69" i="26"/>
  <c r="AY69" i="26"/>
  <c r="AZ69" i="26"/>
  <c r="BA69" i="26"/>
  <c r="BB69" i="26"/>
  <c r="BC69" i="26"/>
  <c r="BD69" i="26"/>
  <c r="BE69" i="26"/>
  <c r="BF69" i="26"/>
  <c r="BG69" i="26"/>
  <c r="I70" i="26"/>
  <c r="J70" i="26"/>
  <c r="K70" i="26"/>
  <c r="L70" i="26"/>
  <c r="M70" i="26"/>
  <c r="N70" i="26"/>
  <c r="O70" i="26"/>
  <c r="P70" i="26"/>
  <c r="Q70" i="26"/>
  <c r="R70" i="26"/>
  <c r="S70" i="26"/>
  <c r="T70" i="26"/>
  <c r="U70" i="26"/>
  <c r="V70" i="26"/>
  <c r="W70" i="26"/>
  <c r="X70" i="26"/>
  <c r="Y70" i="26"/>
  <c r="Z70" i="26"/>
  <c r="AA70" i="26"/>
  <c r="AB70" i="26"/>
  <c r="AC70" i="26"/>
  <c r="AD70" i="26"/>
  <c r="AE70" i="26"/>
  <c r="AF70" i="26"/>
  <c r="AG70" i="26"/>
  <c r="AH70" i="26"/>
  <c r="AI70" i="26"/>
  <c r="AJ70" i="26"/>
  <c r="AK70" i="26"/>
  <c r="AL70" i="26"/>
  <c r="AM70" i="26"/>
  <c r="AN70" i="26"/>
  <c r="AO70" i="26"/>
  <c r="AP70" i="26"/>
  <c r="AQ70" i="26"/>
  <c r="AR70" i="26"/>
  <c r="AS70" i="26"/>
  <c r="AT70" i="26"/>
  <c r="AU70" i="26"/>
  <c r="AV70" i="26"/>
  <c r="AW70" i="26"/>
  <c r="AX70" i="26"/>
  <c r="AY70" i="26"/>
  <c r="AZ70" i="26"/>
  <c r="BA70" i="26"/>
  <c r="BB70" i="26"/>
  <c r="BC70" i="26"/>
  <c r="BD70" i="26"/>
  <c r="BE70" i="26"/>
  <c r="BF70" i="26"/>
  <c r="BG70" i="26"/>
  <c r="I71" i="26"/>
  <c r="J71" i="26"/>
  <c r="K71" i="26"/>
  <c r="L71" i="26"/>
  <c r="M71" i="26"/>
  <c r="N71" i="26"/>
  <c r="O71" i="26"/>
  <c r="P71" i="26"/>
  <c r="Q71" i="26"/>
  <c r="R71" i="26"/>
  <c r="S71" i="26"/>
  <c r="T71" i="26"/>
  <c r="U71" i="26"/>
  <c r="V71" i="26"/>
  <c r="W71" i="26"/>
  <c r="X71" i="26"/>
  <c r="Y71" i="26"/>
  <c r="Z71" i="26"/>
  <c r="AA71" i="26"/>
  <c r="AB71" i="26"/>
  <c r="AC71" i="26"/>
  <c r="AD71" i="26"/>
  <c r="AE71" i="26"/>
  <c r="AF71" i="26"/>
  <c r="AG71" i="26"/>
  <c r="AH71" i="26"/>
  <c r="AI71" i="26"/>
  <c r="AJ71" i="26"/>
  <c r="AK71" i="26"/>
  <c r="AL71" i="26"/>
  <c r="AM71" i="26"/>
  <c r="AN71" i="26"/>
  <c r="AO71" i="26"/>
  <c r="AP71" i="26"/>
  <c r="AQ71" i="26"/>
  <c r="AR71" i="26"/>
  <c r="AS71" i="26"/>
  <c r="AT71" i="26"/>
  <c r="AU71" i="26"/>
  <c r="AV71" i="26"/>
  <c r="AW71" i="26"/>
  <c r="AX71" i="26"/>
  <c r="AY71" i="26"/>
  <c r="AZ71" i="26"/>
  <c r="BA71" i="26"/>
  <c r="BB71" i="26"/>
  <c r="BC71" i="26"/>
  <c r="BD71" i="26"/>
  <c r="BE71" i="26"/>
  <c r="BF71" i="26"/>
  <c r="BG71" i="26"/>
  <c r="I72" i="26"/>
  <c r="J72" i="26"/>
  <c r="K72" i="26"/>
  <c r="L72" i="26"/>
  <c r="M72" i="26"/>
  <c r="N72" i="26"/>
  <c r="O72" i="26"/>
  <c r="P72" i="26"/>
  <c r="Q72" i="26"/>
  <c r="R72" i="26"/>
  <c r="S72" i="26"/>
  <c r="T72" i="26"/>
  <c r="U72" i="26"/>
  <c r="V72" i="26"/>
  <c r="W72" i="26"/>
  <c r="X72" i="26"/>
  <c r="Y72" i="26"/>
  <c r="Z72" i="26"/>
  <c r="AA72" i="26"/>
  <c r="AB72" i="26"/>
  <c r="AC72" i="26"/>
  <c r="AD72" i="26"/>
  <c r="AE72" i="26"/>
  <c r="AF72" i="26"/>
  <c r="AG72" i="26"/>
  <c r="AH72" i="26"/>
  <c r="AI72" i="26"/>
  <c r="AJ72" i="26"/>
  <c r="AK72" i="26"/>
  <c r="AL72" i="26"/>
  <c r="AM72" i="26"/>
  <c r="AN72" i="26"/>
  <c r="AO72" i="26"/>
  <c r="AP72" i="26"/>
  <c r="AQ72" i="26"/>
  <c r="AR72" i="26"/>
  <c r="AS72" i="26"/>
  <c r="AT72" i="26"/>
  <c r="AU72" i="26"/>
  <c r="AV72" i="26"/>
  <c r="AW72" i="26"/>
  <c r="AX72" i="26"/>
  <c r="AY72" i="26"/>
  <c r="AZ72" i="26"/>
  <c r="BA72" i="26"/>
  <c r="BB72" i="26"/>
  <c r="BC72" i="26"/>
  <c r="BD72" i="26"/>
  <c r="BE72" i="26"/>
  <c r="BF72" i="26"/>
  <c r="BG72" i="26"/>
  <c r="I73" i="26"/>
  <c r="J73" i="26"/>
  <c r="K73" i="26"/>
  <c r="L73" i="26"/>
  <c r="M73" i="26"/>
  <c r="N73" i="26"/>
  <c r="O73" i="26"/>
  <c r="P73" i="26"/>
  <c r="Q73" i="26"/>
  <c r="R73" i="26"/>
  <c r="S73" i="26"/>
  <c r="T73" i="26"/>
  <c r="U73" i="26"/>
  <c r="V73" i="26"/>
  <c r="W73" i="26"/>
  <c r="X73" i="26"/>
  <c r="Y73" i="26"/>
  <c r="Z73" i="26"/>
  <c r="AA73" i="26"/>
  <c r="AB73" i="26"/>
  <c r="AC73" i="26"/>
  <c r="AD73" i="26"/>
  <c r="AE73" i="26"/>
  <c r="AF73" i="26"/>
  <c r="AG73" i="26"/>
  <c r="AH73" i="26"/>
  <c r="AI73" i="26"/>
  <c r="AJ73" i="26"/>
  <c r="AK73" i="26"/>
  <c r="AL73" i="26"/>
  <c r="AM73" i="26"/>
  <c r="AN73" i="26"/>
  <c r="AO73" i="26"/>
  <c r="AP73" i="26"/>
  <c r="AQ73" i="26"/>
  <c r="AR73" i="26"/>
  <c r="AS73" i="26"/>
  <c r="AT73" i="26"/>
  <c r="AU73" i="26"/>
  <c r="AV73" i="26"/>
  <c r="AW73" i="26"/>
  <c r="AX73" i="26"/>
  <c r="AY73" i="26"/>
  <c r="AZ73" i="26"/>
  <c r="BA73" i="26"/>
  <c r="BB73" i="26"/>
  <c r="BC73" i="26"/>
  <c r="BD73" i="26"/>
  <c r="BE73" i="26"/>
  <c r="BF73" i="26"/>
  <c r="BG73" i="26"/>
  <c r="I74" i="26"/>
  <c r="J74" i="26"/>
  <c r="K74" i="26"/>
  <c r="L74" i="26"/>
  <c r="M74" i="26"/>
  <c r="N74" i="26"/>
  <c r="O74" i="26"/>
  <c r="P74" i="26"/>
  <c r="Q74" i="26"/>
  <c r="R74" i="26"/>
  <c r="S74" i="26"/>
  <c r="T74" i="26"/>
  <c r="U74" i="26"/>
  <c r="V74" i="26"/>
  <c r="W74" i="26"/>
  <c r="X74" i="26"/>
  <c r="Y74" i="26"/>
  <c r="Z74" i="26"/>
  <c r="AA74" i="26"/>
  <c r="AB74" i="26"/>
  <c r="AC74" i="26"/>
  <c r="AD74" i="26"/>
  <c r="AE74" i="26"/>
  <c r="AF74" i="26"/>
  <c r="AG74" i="26"/>
  <c r="AH74" i="26"/>
  <c r="AI74" i="26"/>
  <c r="AJ74" i="26"/>
  <c r="AK74" i="26"/>
  <c r="AL74" i="26"/>
  <c r="AM74" i="26"/>
  <c r="AN74" i="26"/>
  <c r="AO74" i="26"/>
  <c r="AP74" i="26"/>
  <c r="AQ74" i="26"/>
  <c r="AR74" i="26"/>
  <c r="AS74" i="26"/>
  <c r="AT74" i="26"/>
  <c r="AU74" i="26"/>
  <c r="AV74" i="26"/>
  <c r="AW74" i="26"/>
  <c r="AX74" i="26"/>
  <c r="AY74" i="26"/>
  <c r="AZ74" i="26"/>
  <c r="BA74" i="26"/>
  <c r="BB74" i="26"/>
  <c r="BC74" i="26"/>
  <c r="BD74" i="26"/>
  <c r="BE74" i="26"/>
  <c r="BF74" i="26"/>
  <c r="BG74" i="26"/>
  <c r="I75" i="26"/>
  <c r="J75" i="26"/>
  <c r="K75" i="26"/>
  <c r="L75" i="26"/>
  <c r="M75" i="26"/>
  <c r="N75" i="26"/>
  <c r="O75" i="26"/>
  <c r="P75" i="26"/>
  <c r="Q75" i="26"/>
  <c r="R75" i="26"/>
  <c r="S75" i="26"/>
  <c r="T75" i="26"/>
  <c r="U75" i="26"/>
  <c r="V75" i="26"/>
  <c r="W75" i="26"/>
  <c r="X75" i="26"/>
  <c r="Y75" i="26"/>
  <c r="Z75" i="26"/>
  <c r="AA75" i="26"/>
  <c r="AB75" i="26"/>
  <c r="AC75" i="26"/>
  <c r="AD75" i="26"/>
  <c r="AE75" i="26"/>
  <c r="AF75" i="26"/>
  <c r="AG75" i="26"/>
  <c r="AH75" i="26"/>
  <c r="AI75" i="26"/>
  <c r="AJ75" i="26"/>
  <c r="AK75" i="26"/>
  <c r="AL75" i="26"/>
  <c r="AM75" i="26"/>
  <c r="AN75" i="26"/>
  <c r="AO75" i="26"/>
  <c r="AP75" i="26"/>
  <c r="AQ75" i="26"/>
  <c r="AR75" i="26"/>
  <c r="AS75" i="26"/>
  <c r="AT75" i="26"/>
  <c r="AU75" i="26"/>
  <c r="AV75" i="26"/>
  <c r="AW75" i="26"/>
  <c r="AX75" i="26"/>
  <c r="AY75" i="26"/>
  <c r="AZ75" i="26"/>
  <c r="BA75" i="26"/>
  <c r="BB75" i="26"/>
  <c r="BC75" i="26"/>
  <c r="BD75" i="26"/>
  <c r="BE75" i="26"/>
  <c r="BF75" i="26"/>
  <c r="BG75" i="26"/>
  <c r="I76" i="26"/>
  <c r="J76" i="26"/>
  <c r="K76" i="26"/>
  <c r="L76" i="26"/>
  <c r="M76" i="26"/>
  <c r="N76" i="26"/>
  <c r="O76" i="26"/>
  <c r="P76" i="26"/>
  <c r="Q76" i="26"/>
  <c r="R76" i="26"/>
  <c r="S76" i="26"/>
  <c r="T76" i="26"/>
  <c r="U76" i="26"/>
  <c r="V76" i="26"/>
  <c r="W76" i="26"/>
  <c r="X76" i="26"/>
  <c r="Y76" i="26"/>
  <c r="Z76" i="26"/>
  <c r="AA76" i="26"/>
  <c r="AB76" i="26"/>
  <c r="AC76" i="26"/>
  <c r="AD76" i="26"/>
  <c r="AE76" i="26"/>
  <c r="AF76" i="26"/>
  <c r="AG76" i="26"/>
  <c r="AH76" i="26"/>
  <c r="AI76" i="26"/>
  <c r="AJ76" i="26"/>
  <c r="AK76" i="26"/>
  <c r="AL76" i="26"/>
  <c r="AM76" i="26"/>
  <c r="AN76" i="26"/>
  <c r="AO76" i="26"/>
  <c r="AP76" i="26"/>
  <c r="AQ76" i="26"/>
  <c r="AR76" i="26"/>
  <c r="AS76" i="26"/>
  <c r="AT76" i="26"/>
  <c r="AU76" i="26"/>
  <c r="AV76" i="26"/>
  <c r="AW76" i="26"/>
  <c r="AX76" i="26"/>
  <c r="AY76" i="26"/>
  <c r="AZ76" i="26"/>
  <c r="BA76" i="26"/>
  <c r="BB76" i="26"/>
  <c r="BC76" i="26"/>
  <c r="BD76" i="26"/>
  <c r="BE76" i="26"/>
  <c r="BF76" i="26"/>
  <c r="BG76" i="26"/>
  <c r="I77" i="26"/>
  <c r="J77" i="26"/>
  <c r="K77" i="26"/>
  <c r="L77" i="26"/>
  <c r="M77" i="26"/>
  <c r="N77" i="26"/>
  <c r="O77" i="26"/>
  <c r="P77" i="26"/>
  <c r="Q77" i="26"/>
  <c r="R77" i="26"/>
  <c r="S77" i="26"/>
  <c r="T77" i="26"/>
  <c r="U77" i="26"/>
  <c r="V77" i="26"/>
  <c r="W77" i="26"/>
  <c r="X77" i="26"/>
  <c r="Y77" i="26"/>
  <c r="Z77" i="26"/>
  <c r="AA77" i="26"/>
  <c r="AB77" i="26"/>
  <c r="AC77" i="26"/>
  <c r="AD77" i="26"/>
  <c r="AE77" i="26"/>
  <c r="AF77" i="26"/>
  <c r="AG77" i="26"/>
  <c r="AH77" i="26"/>
  <c r="AI77" i="26"/>
  <c r="AJ77" i="26"/>
  <c r="AK77" i="26"/>
  <c r="AL77" i="26"/>
  <c r="AM77" i="26"/>
  <c r="AN77" i="26"/>
  <c r="AO77" i="26"/>
  <c r="AP77" i="26"/>
  <c r="AQ77" i="26"/>
  <c r="AR77" i="26"/>
  <c r="AS77" i="26"/>
  <c r="AT77" i="26"/>
  <c r="AU77" i="26"/>
  <c r="AV77" i="26"/>
  <c r="AW77" i="26"/>
  <c r="AX77" i="26"/>
  <c r="AY77" i="26"/>
  <c r="AZ77" i="26"/>
  <c r="BA77" i="26"/>
  <c r="BB77" i="26"/>
  <c r="BC77" i="26"/>
  <c r="BD77" i="26"/>
  <c r="BE77" i="26"/>
  <c r="BF77" i="26"/>
  <c r="BG77" i="26"/>
  <c r="I78" i="26"/>
  <c r="J78" i="26"/>
  <c r="K78" i="26"/>
  <c r="L78" i="26"/>
  <c r="M78" i="26"/>
  <c r="N78" i="26"/>
  <c r="O78" i="26"/>
  <c r="P78" i="26"/>
  <c r="Q78" i="26"/>
  <c r="R78" i="26"/>
  <c r="S78" i="26"/>
  <c r="T78" i="26"/>
  <c r="U78" i="26"/>
  <c r="V78" i="26"/>
  <c r="W78" i="26"/>
  <c r="X78" i="26"/>
  <c r="Y78" i="26"/>
  <c r="Z78" i="26"/>
  <c r="AA78" i="26"/>
  <c r="AB78" i="26"/>
  <c r="AC78" i="26"/>
  <c r="AD78" i="26"/>
  <c r="AE78" i="26"/>
  <c r="AF78" i="26"/>
  <c r="AG78" i="26"/>
  <c r="AH78" i="26"/>
  <c r="AI78" i="26"/>
  <c r="AJ78" i="26"/>
  <c r="AK78" i="26"/>
  <c r="AL78" i="26"/>
  <c r="AM78" i="26"/>
  <c r="AN78" i="26"/>
  <c r="AO78" i="26"/>
  <c r="AP78" i="26"/>
  <c r="AQ78" i="26"/>
  <c r="AR78" i="26"/>
  <c r="AS78" i="26"/>
  <c r="AT78" i="26"/>
  <c r="AU78" i="26"/>
  <c r="AV78" i="26"/>
  <c r="AW78" i="26"/>
  <c r="AX78" i="26"/>
  <c r="AY78" i="26"/>
  <c r="AZ78" i="26"/>
  <c r="BA78" i="26"/>
  <c r="BB78" i="26"/>
  <c r="BC78" i="26"/>
  <c r="BD78" i="26"/>
  <c r="BE78" i="26"/>
  <c r="BF78" i="26"/>
  <c r="BG78" i="26"/>
  <c r="I79" i="26"/>
  <c r="J79" i="26"/>
  <c r="K79" i="26"/>
  <c r="L79" i="26"/>
  <c r="M79" i="26"/>
  <c r="N79" i="26"/>
  <c r="O79" i="26"/>
  <c r="P79" i="26"/>
  <c r="Q79" i="26"/>
  <c r="R79" i="26"/>
  <c r="S79" i="26"/>
  <c r="T79" i="26"/>
  <c r="U79" i="26"/>
  <c r="V79" i="26"/>
  <c r="W79" i="26"/>
  <c r="X79" i="26"/>
  <c r="Y79" i="26"/>
  <c r="Z79" i="26"/>
  <c r="AA79" i="26"/>
  <c r="AB79" i="26"/>
  <c r="AC79" i="26"/>
  <c r="AD79" i="26"/>
  <c r="AE79" i="26"/>
  <c r="AF79" i="26"/>
  <c r="AG79" i="26"/>
  <c r="AH79" i="26"/>
  <c r="AI79" i="26"/>
  <c r="AJ79" i="26"/>
  <c r="AK79" i="26"/>
  <c r="AL79" i="26"/>
  <c r="AM79" i="26"/>
  <c r="AN79" i="26"/>
  <c r="AO79" i="26"/>
  <c r="AP79" i="26"/>
  <c r="AQ79" i="26"/>
  <c r="AR79" i="26"/>
  <c r="AS79" i="26"/>
  <c r="AT79" i="26"/>
  <c r="AU79" i="26"/>
  <c r="AV79" i="26"/>
  <c r="AW79" i="26"/>
  <c r="AX79" i="26"/>
  <c r="AY79" i="26"/>
  <c r="AZ79" i="26"/>
  <c r="BA79" i="26"/>
  <c r="BB79" i="26"/>
  <c r="BC79" i="26"/>
  <c r="BD79" i="26"/>
  <c r="BE79" i="26"/>
  <c r="BF79" i="26"/>
  <c r="BG79" i="26"/>
  <c r="I80" i="26"/>
  <c r="J80" i="26"/>
  <c r="K80" i="26"/>
  <c r="L80" i="26"/>
  <c r="M80" i="26"/>
  <c r="N80" i="26"/>
  <c r="O80" i="26"/>
  <c r="P80" i="26"/>
  <c r="Q80" i="26"/>
  <c r="R80" i="26"/>
  <c r="S80" i="26"/>
  <c r="T80" i="26"/>
  <c r="U80" i="26"/>
  <c r="V80" i="26"/>
  <c r="W80" i="26"/>
  <c r="X80" i="26"/>
  <c r="Y80" i="26"/>
  <c r="Z80" i="26"/>
  <c r="AA80" i="26"/>
  <c r="AB80" i="26"/>
  <c r="AC80" i="26"/>
  <c r="AD80" i="26"/>
  <c r="AE80" i="26"/>
  <c r="AF80" i="26"/>
  <c r="AG80" i="26"/>
  <c r="AH80" i="26"/>
  <c r="AI80" i="26"/>
  <c r="AJ80" i="26"/>
  <c r="AK80" i="26"/>
  <c r="AL80" i="26"/>
  <c r="AM80" i="26"/>
  <c r="AN80" i="26"/>
  <c r="AO80" i="26"/>
  <c r="AP80" i="26"/>
  <c r="AQ80" i="26"/>
  <c r="AR80" i="26"/>
  <c r="AS80" i="26"/>
  <c r="AT80" i="26"/>
  <c r="AU80" i="26"/>
  <c r="AV80" i="26"/>
  <c r="AW80" i="26"/>
  <c r="AX80" i="26"/>
  <c r="AY80" i="26"/>
  <c r="AZ80" i="26"/>
  <c r="BA80" i="26"/>
  <c r="BB80" i="26"/>
  <c r="BC80" i="26"/>
  <c r="BD80" i="26"/>
  <c r="BE80" i="26"/>
  <c r="BF80" i="26"/>
  <c r="BG80" i="26"/>
  <c r="I81" i="26"/>
  <c r="J81" i="26"/>
  <c r="K81" i="26"/>
  <c r="L81" i="26"/>
  <c r="M81" i="26"/>
  <c r="N81" i="26"/>
  <c r="O81" i="26"/>
  <c r="P81" i="26"/>
  <c r="Q81" i="26"/>
  <c r="R81" i="26"/>
  <c r="S81" i="26"/>
  <c r="T81" i="26"/>
  <c r="U81" i="26"/>
  <c r="V81" i="26"/>
  <c r="W81" i="26"/>
  <c r="X81" i="26"/>
  <c r="Y81" i="26"/>
  <c r="Z81" i="26"/>
  <c r="AA81" i="26"/>
  <c r="AB81" i="26"/>
  <c r="AC81" i="26"/>
  <c r="AD81" i="26"/>
  <c r="AE81" i="26"/>
  <c r="AF81" i="26"/>
  <c r="AG81" i="26"/>
  <c r="AH81" i="26"/>
  <c r="AI81" i="26"/>
  <c r="AJ81" i="26"/>
  <c r="AK81" i="26"/>
  <c r="AL81" i="26"/>
  <c r="AM81" i="26"/>
  <c r="AN81" i="26"/>
  <c r="AO81" i="26"/>
  <c r="AP81" i="26"/>
  <c r="AQ81" i="26"/>
  <c r="AR81" i="26"/>
  <c r="AS81" i="26"/>
  <c r="AT81" i="26"/>
  <c r="AU81" i="26"/>
  <c r="AV81" i="26"/>
  <c r="AW81" i="26"/>
  <c r="AX81" i="26"/>
  <c r="AY81" i="26"/>
  <c r="AZ81" i="26"/>
  <c r="BA81" i="26"/>
  <c r="BB81" i="26"/>
  <c r="BC81" i="26"/>
  <c r="BD81" i="26"/>
  <c r="BE81" i="26"/>
  <c r="BF81" i="26"/>
  <c r="BG81" i="26"/>
  <c r="I82" i="26"/>
  <c r="J82" i="26"/>
  <c r="K82" i="26"/>
  <c r="L82" i="26"/>
  <c r="M82" i="26"/>
  <c r="N82" i="26"/>
  <c r="O82" i="26"/>
  <c r="P82" i="26"/>
  <c r="Q82" i="26"/>
  <c r="R82" i="26"/>
  <c r="S82" i="26"/>
  <c r="T82" i="26"/>
  <c r="U82" i="26"/>
  <c r="V82" i="26"/>
  <c r="W82" i="26"/>
  <c r="X82" i="26"/>
  <c r="Y82" i="26"/>
  <c r="Z82" i="26"/>
  <c r="AA82" i="26"/>
  <c r="AB82" i="26"/>
  <c r="AC82" i="26"/>
  <c r="AD82" i="26"/>
  <c r="AE82" i="26"/>
  <c r="AF82" i="26"/>
  <c r="AG82" i="26"/>
  <c r="AH82" i="26"/>
  <c r="AI82" i="26"/>
  <c r="AJ82" i="26"/>
  <c r="AK82" i="26"/>
  <c r="AL82" i="26"/>
  <c r="AM82" i="26"/>
  <c r="AN82" i="26"/>
  <c r="AO82" i="26"/>
  <c r="AP82" i="26"/>
  <c r="AQ82" i="26"/>
  <c r="AR82" i="26"/>
  <c r="AS82" i="26"/>
  <c r="AT82" i="26"/>
  <c r="AU82" i="26"/>
  <c r="AV82" i="26"/>
  <c r="AW82" i="26"/>
  <c r="AX82" i="26"/>
  <c r="AY82" i="26"/>
  <c r="AZ82" i="26"/>
  <c r="BA82" i="26"/>
  <c r="BB82" i="26"/>
  <c r="BC82" i="26"/>
  <c r="BD82" i="26"/>
  <c r="BE82" i="26"/>
  <c r="BF82" i="26"/>
  <c r="BG82" i="26"/>
  <c r="I83" i="26"/>
  <c r="J83" i="26"/>
  <c r="K83" i="26"/>
  <c r="L83" i="26"/>
  <c r="M83" i="26"/>
  <c r="N83" i="26"/>
  <c r="O83" i="26"/>
  <c r="P83" i="26"/>
  <c r="Q83" i="26"/>
  <c r="R83" i="26"/>
  <c r="S83" i="26"/>
  <c r="T83" i="26"/>
  <c r="U83" i="26"/>
  <c r="V83" i="26"/>
  <c r="W83" i="26"/>
  <c r="X83" i="26"/>
  <c r="Y83" i="26"/>
  <c r="Z83" i="26"/>
  <c r="AA83" i="26"/>
  <c r="AB83" i="26"/>
  <c r="AC83" i="26"/>
  <c r="AD83" i="26"/>
  <c r="AE83" i="26"/>
  <c r="AF83" i="26"/>
  <c r="AG83" i="26"/>
  <c r="AH83" i="26"/>
  <c r="AI83" i="26"/>
  <c r="AJ83" i="26"/>
  <c r="AK83" i="26"/>
  <c r="AL83" i="26"/>
  <c r="AM83" i="26"/>
  <c r="AN83" i="26"/>
  <c r="AO83" i="26"/>
  <c r="AP83" i="26"/>
  <c r="AQ83" i="26"/>
  <c r="AR83" i="26"/>
  <c r="AS83" i="26"/>
  <c r="AT83" i="26"/>
  <c r="AU83" i="26"/>
  <c r="AV83" i="26"/>
  <c r="AW83" i="26"/>
  <c r="AX83" i="26"/>
  <c r="AY83" i="26"/>
  <c r="AZ83" i="26"/>
  <c r="BA83" i="26"/>
  <c r="BB83" i="26"/>
  <c r="BC83" i="26"/>
  <c r="BD83" i="26"/>
  <c r="BE83" i="26"/>
  <c r="BF83" i="26"/>
  <c r="BG83" i="26"/>
  <c r="I84" i="26"/>
  <c r="J84" i="26"/>
  <c r="K84" i="26"/>
  <c r="L84" i="26"/>
  <c r="M84" i="26"/>
  <c r="N84" i="26"/>
  <c r="O84" i="26"/>
  <c r="P84" i="26"/>
  <c r="Q84" i="26"/>
  <c r="R84" i="26"/>
  <c r="S84" i="26"/>
  <c r="T84" i="26"/>
  <c r="U84" i="26"/>
  <c r="V84" i="26"/>
  <c r="W84" i="26"/>
  <c r="X84" i="26"/>
  <c r="Y84" i="26"/>
  <c r="Z84" i="26"/>
  <c r="AA84" i="26"/>
  <c r="AB84" i="26"/>
  <c r="AC84" i="26"/>
  <c r="AD84" i="26"/>
  <c r="AE84" i="26"/>
  <c r="AF84" i="26"/>
  <c r="AG84" i="26"/>
  <c r="AH84" i="26"/>
  <c r="AI84" i="26"/>
  <c r="AJ84" i="26"/>
  <c r="AK84" i="26"/>
  <c r="AL84" i="26"/>
  <c r="AM84" i="26"/>
  <c r="AN84" i="26"/>
  <c r="AO84" i="26"/>
  <c r="AP84" i="26"/>
  <c r="AQ84" i="26"/>
  <c r="AR84" i="26"/>
  <c r="AS84" i="26"/>
  <c r="AT84" i="26"/>
  <c r="AU84" i="26"/>
  <c r="AV84" i="26"/>
  <c r="AW84" i="26"/>
  <c r="AX84" i="26"/>
  <c r="AY84" i="26"/>
  <c r="AZ84" i="26"/>
  <c r="BA84" i="26"/>
  <c r="BB84" i="26"/>
  <c r="BC84" i="26"/>
  <c r="BD84" i="26"/>
  <c r="BE84" i="26"/>
  <c r="BF84" i="26"/>
  <c r="BG84" i="26"/>
  <c r="I85" i="26"/>
  <c r="J85" i="26"/>
  <c r="K85" i="26"/>
  <c r="L85" i="26"/>
  <c r="M85" i="26"/>
  <c r="N85" i="26"/>
  <c r="O85" i="26"/>
  <c r="P85" i="26"/>
  <c r="Q85" i="26"/>
  <c r="R85" i="26"/>
  <c r="S85" i="26"/>
  <c r="T85" i="26"/>
  <c r="U85" i="26"/>
  <c r="V85" i="26"/>
  <c r="W85" i="26"/>
  <c r="X85" i="26"/>
  <c r="Y85" i="26"/>
  <c r="Z85" i="26"/>
  <c r="AA85" i="26"/>
  <c r="AB85" i="26"/>
  <c r="AC85" i="26"/>
  <c r="AD85" i="26"/>
  <c r="AE85" i="26"/>
  <c r="AF85" i="26"/>
  <c r="AG85" i="26"/>
  <c r="AH85" i="26"/>
  <c r="AI85" i="26"/>
  <c r="AJ85" i="26"/>
  <c r="AK85" i="26"/>
  <c r="AL85" i="26"/>
  <c r="AM85" i="26"/>
  <c r="AN85" i="26"/>
  <c r="AO85" i="26"/>
  <c r="AP85" i="26"/>
  <c r="AQ85" i="26"/>
  <c r="AR85" i="26"/>
  <c r="AS85" i="26"/>
  <c r="AT85" i="26"/>
  <c r="AU85" i="26"/>
  <c r="AV85" i="26"/>
  <c r="AW85" i="26"/>
  <c r="AX85" i="26"/>
  <c r="AY85" i="26"/>
  <c r="AZ85" i="26"/>
  <c r="BA85" i="26"/>
  <c r="BB85" i="26"/>
  <c r="BC85" i="26"/>
  <c r="BD85" i="26"/>
  <c r="BE85" i="26"/>
  <c r="BF85" i="26"/>
  <c r="BG85" i="26"/>
  <c r="I86" i="26"/>
  <c r="J86" i="26"/>
  <c r="K86" i="26"/>
  <c r="L86" i="26"/>
  <c r="M86" i="26"/>
  <c r="N86" i="26"/>
  <c r="O86" i="26"/>
  <c r="P86" i="26"/>
  <c r="Q86" i="26"/>
  <c r="R86" i="26"/>
  <c r="S86" i="26"/>
  <c r="T86" i="26"/>
  <c r="U86" i="26"/>
  <c r="V86" i="26"/>
  <c r="W86" i="26"/>
  <c r="X86" i="26"/>
  <c r="Y86" i="26"/>
  <c r="Z86" i="26"/>
  <c r="AA86" i="26"/>
  <c r="AB86" i="26"/>
  <c r="AC86" i="26"/>
  <c r="AD86" i="26"/>
  <c r="AE86" i="26"/>
  <c r="AF86" i="26"/>
  <c r="AG86" i="26"/>
  <c r="AH86" i="26"/>
  <c r="AI86" i="26"/>
  <c r="AJ86" i="26"/>
  <c r="AK86" i="26"/>
  <c r="AL86" i="26"/>
  <c r="AM86" i="26"/>
  <c r="AN86" i="26"/>
  <c r="AO86" i="26"/>
  <c r="AP86" i="26"/>
  <c r="AQ86" i="26"/>
  <c r="AR86" i="26"/>
  <c r="AS86" i="26"/>
  <c r="AT86" i="26"/>
  <c r="AU86" i="26"/>
  <c r="AV86" i="26"/>
  <c r="AW86" i="26"/>
  <c r="AX86" i="26"/>
  <c r="AY86" i="26"/>
  <c r="AZ86" i="26"/>
  <c r="BA86" i="26"/>
  <c r="BB86" i="26"/>
  <c r="BC86" i="26"/>
  <c r="BD86" i="26"/>
  <c r="BE86" i="26"/>
  <c r="BF86" i="26"/>
  <c r="BG86" i="26"/>
  <c r="I87" i="26"/>
  <c r="J87" i="26"/>
  <c r="K87" i="26"/>
  <c r="L87" i="26"/>
  <c r="M87" i="26"/>
  <c r="N87" i="26"/>
  <c r="O87" i="26"/>
  <c r="P87" i="26"/>
  <c r="Q87" i="26"/>
  <c r="R87" i="26"/>
  <c r="S87" i="26"/>
  <c r="T87" i="26"/>
  <c r="U87" i="26"/>
  <c r="V87" i="26"/>
  <c r="W87" i="26"/>
  <c r="X87" i="26"/>
  <c r="Y87" i="26"/>
  <c r="Z87" i="26"/>
  <c r="AA87" i="26"/>
  <c r="AB87" i="26"/>
  <c r="AC87" i="26"/>
  <c r="AD87" i="26"/>
  <c r="AE87" i="26"/>
  <c r="AF87" i="26"/>
  <c r="AG87" i="26"/>
  <c r="AH87" i="26"/>
  <c r="AI87" i="26"/>
  <c r="AJ87" i="26"/>
  <c r="AK87" i="26"/>
  <c r="AL87" i="26"/>
  <c r="AM87" i="26"/>
  <c r="AN87" i="26"/>
  <c r="AO87" i="26"/>
  <c r="AP87" i="26"/>
  <c r="AQ87" i="26"/>
  <c r="AR87" i="26"/>
  <c r="AS87" i="26"/>
  <c r="AT87" i="26"/>
  <c r="AU87" i="26"/>
  <c r="AV87" i="26"/>
  <c r="AW87" i="26"/>
  <c r="AX87" i="26"/>
  <c r="AY87" i="26"/>
  <c r="AZ87" i="26"/>
  <c r="BA87" i="26"/>
  <c r="BB87" i="26"/>
  <c r="BC87" i="26"/>
  <c r="BD87" i="26"/>
  <c r="BE87" i="26"/>
  <c r="BF87" i="26"/>
  <c r="BG87" i="26"/>
  <c r="I88" i="26"/>
  <c r="J88" i="26"/>
  <c r="K88" i="26"/>
  <c r="L88" i="26"/>
  <c r="M88" i="26"/>
  <c r="N88" i="26"/>
  <c r="O88" i="26"/>
  <c r="P88" i="26"/>
  <c r="Q88" i="26"/>
  <c r="R88" i="26"/>
  <c r="S88" i="26"/>
  <c r="T88" i="26"/>
  <c r="U88" i="26"/>
  <c r="V88" i="26"/>
  <c r="W88" i="26"/>
  <c r="X88" i="26"/>
  <c r="Y88" i="26"/>
  <c r="Z88" i="26"/>
  <c r="AA88" i="26"/>
  <c r="AB88" i="26"/>
  <c r="AC88" i="26"/>
  <c r="AD88" i="26"/>
  <c r="AE88" i="26"/>
  <c r="AF88" i="26"/>
  <c r="AG88" i="26"/>
  <c r="AH88" i="26"/>
  <c r="AI88" i="26"/>
  <c r="AJ88" i="26"/>
  <c r="AK88" i="26"/>
  <c r="AL88" i="26"/>
  <c r="AM88" i="26"/>
  <c r="AN88" i="26"/>
  <c r="AO88" i="26"/>
  <c r="AP88" i="26"/>
  <c r="AQ88" i="26"/>
  <c r="AR88" i="26"/>
  <c r="AS88" i="26"/>
  <c r="AT88" i="26"/>
  <c r="AU88" i="26"/>
  <c r="AV88" i="26"/>
  <c r="AW88" i="26"/>
  <c r="AX88" i="26"/>
  <c r="AY88" i="26"/>
  <c r="AZ88" i="26"/>
  <c r="BA88" i="26"/>
  <c r="BB88" i="26"/>
  <c r="BC88" i="26"/>
  <c r="BD88" i="26"/>
  <c r="BE88" i="26"/>
  <c r="BF88" i="26"/>
  <c r="BG88" i="26"/>
  <c r="I89" i="26"/>
  <c r="J89" i="26"/>
  <c r="K89" i="26"/>
  <c r="L89" i="26"/>
  <c r="M89" i="26"/>
  <c r="N89" i="26"/>
  <c r="O89" i="26"/>
  <c r="P89" i="26"/>
  <c r="Q89" i="26"/>
  <c r="R89" i="26"/>
  <c r="S89" i="26"/>
  <c r="T89" i="26"/>
  <c r="U89" i="26"/>
  <c r="V89" i="26"/>
  <c r="W89" i="26"/>
  <c r="X89" i="26"/>
  <c r="Y89" i="26"/>
  <c r="Z89" i="26"/>
  <c r="AA89" i="26"/>
  <c r="AB89" i="26"/>
  <c r="AC89" i="26"/>
  <c r="AD89" i="26"/>
  <c r="AE89" i="26"/>
  <c r="AF89" i="26"/>
  <c r="AG89" i="26"/>
  <c r="AH89" i="26"/>
  <c r="AI89" i="26"/>
  <c r="AJ89" i="26"/>
  <c r="AK89" i="26"/>
  <c r="AL89" i="26"/>
  <c r="AM89" i="26"/>
  <c r="AN89" i="26"/>
  <c r="AO89" i="26"/>
  <c r="AP89" i="26"/>
  <c r="AQ89" i="26"/>
  <c r="AR89" i="26"/>
  <c r="AS89" i="26"/>
  <c r="AT89" i="26"/>
  <c r="AU89" i="26"/>
  <c r="AV89" i="26"/>
  <c r="AW89" i="26"/>
  <c r="AX89" i="26"/>
  <c r="AY89" i="26"/>
  <c r="AZ89" i="26"/>
  <c r="BA89" i="26"/>
  <c r="BB89" i="26"/>
  <c r="BC89" i="26"/>
  <c r="BD89" i="26"/>
  <c r="BE89" i="26"/>
  <c r="BF89" i="26"/>
  <c r="BG89" i="26"/>
  <c r="I90" i="26"/>
  <c r="J90" i="26"/>
  <c r="K90" i="26"/>
  <c r="L90" i="26"/>
  <c r="M90" i="26"/>
  <c r="N90" i="26"/>
  <c r="O90" i="26"/>
  <c r="P90" i="26"/>
  <c r="Q90" i="26"/>
  <c r="R90" i="26"/>
  <c r="S90" i="26"/>
  <c r="T90" i="26"/>
  <c r="U90" i="26"/>
  <c r="V90" i="26"/>
  <c r="W90" i="26"/>
  <c r="X90" i="26"/>
  <c r="Y90" i="26"/>
  <c r="Z90" i="26"/>
  <c r="AA90" i="26"/>
  <c r="AB90" i="26"/>
  <c r="AC90" i="26"/>
  <c r="AD90" i="26"/>
  <c r="AE90" i="26"/>
  <c r="AF90" i="26"/>
  <c r="AG90" i="26"/>
  <c r="AH90" i="26"/>
  <c r="AI90" i="26"/>
  <c r="AJ90" i="26"/>
  <c r="AK90" i="26"/>
  <c r="AL90" i="26"/>
  <c r="AM90" i="26"/>
  <c r="AN90" i="26"/>
  <c r="AO90" i="26"/>
  <c r="AP90" i="26"/>
  <c r="AQ90" i="26"/>
  <c r="AR90" i="26"/>
  <c r="AS90" i="26"/>
  <c r="AT90" i="26"/>
  <c r="AU90" i="26"/>
  <c r="AV90" i="26"/>
  <c r="AW90" i="26"/>
  <c r="AX90" i="26"/>
  <c r="AY90" i="26"/>
  <c r="AZ90" i="26"/>
  <c r="BA90" i="26"/>
  <c r="BB90" i="26"/>
  <c r="BC90" i="26"/>
  <c r="BD90" i="26"/>
  <c r="BE90" i="26"/>
  <c r="BF90" i="26"/>
  <c r="BG90" i="26"/>
  <c r="I91" i="26"/>
  <c r="J91" i="26"/>
  <c r="K91" i="26"/>
  <c r="L91" i="26"/>
  <c r="M91" i="26"/>
  <c r="N91" i="26"/>
  <c r="O91" i="26"/>
  <c r="P91" i="26"/>
  <c r="Q91" i="26"/>
  <c r="R91" i="26"/>
  <c r="S91" i="26"/>
  <c r="T91" i="26"/>
  <c r="U91" i="26"/>
  <c r="V91" i="26"/>
  <c r="W91" i="26"/>
  <c r="X91" i="26"/>
  <c r="Y91" i="26"/>
  <c r="Z91" i="26"/>
  <c r="AA91" i="26"/>
  <c r="AB91" i="26"/>
  <c r="AC91" i="26"/>
  <c r="AD91" i="26"/>
  <c r="AE91" i="26"/>
  <c r="AF91" i="26"/>
  <c r="AG91" i="26"/>
  <c r="AH91" i="26"/>
  <c r="AI91" i="26"/>
  <c r="AJ91" i="26"/>
  <c r="AK91" i="26"/>
  <c r="AL91" i="26"/>
  <c r="AM91" i="26"/>
  <c r="AN91" i="26"/>
  <c r="AO91" i="26"/>
  <c r="AP91" i="26"/>
  <c r="AQ91" i="26"/>
  <c r="AR91" i="26"/>
  <c r="AS91" i="26"/>
  <c r="AT91" i="26"/>
  <c r="AU91" i="26"/>
  <c r="AV91" i="26"/>
  <c r="AW91" i="26"/>
  <c r="AX91" i="26"/>
  <c r="AY91" i="26"/>
  <c r="AZ91" i="26"/>
  <c r="BA91" i="26"/>
  <c r="BB91" i="26"/>
  <c r="BC91" i="26"/>
  <c r="BD91" i="26"/>
  <c r="BE91" i="26"/>
  <c r="BF91" i="26"/>
  <c r="BG91" i="26"/>
  <c r="I92" i="26"/>
  <c r="J92" i="26"/>
  <c r="K92" i="26"/>
  <c r="L92" i="26"/>
  <c r="M92" i="26"/>
  <c r="N92" i="26"/>
  <c r="O92" i="26"/>
  <c r="P92" i="26"/>
  <c r="Q92" i="26"/>
  <c r="R92" i="26"/>
  <c r="S92" i="26"/>
  <c r="T92" i="26"/>
  <c r="U92" i="26"/>
  <c r="V92" i="26"/>
  <c r="W92" i="26"/>
  <c r="X92" i="26"/>
  <c r="Y92" i="26"/>
  <c r="Z92" i="26"/>
  <c r="AA92" i="26"/>
  <c r="AB92" i="26"/>
  <c r="AC92" i="26"/>
  <c r="AD92" i="26"/>
  <c r="AE92" i="26"/>
  <c r="AF92" i="26"/>
  <c r="AG92" i="26"/>
  <c r="AH92" i="26"/>
  <c r="AI92" i="26"/>
  <c r="AJ92" i="26"/>
  <c r="AK92" i="26"/>
  <c r="AL92" i="26"/>
  <c r="AM92" i="26"/>
  <c r="AN92" i="26"/>
  <c r="AO92" i="26"/>
  <c r="AP92" i="26"/>
  <c r="AQ92" i="26"/>
  <c r="AR92" i="26"/>
  <c r="AS92" i="26"/>
  <c r="AT92" i="26"/>
  <c r="AU92" i="26"/>
  <c r="AV92" i="26"/>
  <c r="AW92" i="26"/>
  <c r="AX92" i="26"/>
  <c r="AY92" i="26"/>
  <c r="AZ92" i="26"/>
  <c r="BA92" i="26"/>
  <c r="BB92" i="26"/>
  <c r="BC92" i="26"/>
  <c r="BD92" i="26"/>
  <c r="BE92" i="26"/>
  <c r="BF92" i="26"/>
  <c r="BG92" i="26"/>
  <c r="I93" i="26"/>
  <c r="J93" i="26"/>
  <c r="K93" i="26"/>
  <c r="L93" i="26"/>
  <c r="M93" i="26"/>
  <c r="N93" i="26"/>
  <c r="O93" i="26"/>
  <c r="P93" i="26"/>
  <c r="Q93" i="26"/>
  <c r="R93" i="26"/>
  <c r="S93" i="26"/>
  <c r="T93" i="26"/>
  <c r="U93" i="26"/>
  <c r="V93" i="26"/>
  <c r="W93" i="26"/>
  <c r="X93" i="26"/>
  <c r="Y93" i="26"/>
  <c r="Z93" i="26"/>
  <c r="AA93" i="26"/>
  <c r="AB93" i="26"/>
  <c r="AC93" i="26"/>
  <c r="AD93" i="26"/>
  <c r="AE93" i="26"/>
  <c r="AF93" i="26"/>
  <c r="AG93" i="26"/>
  <c r="AH93" i="26"/>
  <c r="AI93" i="26"/>
  <c r="AJ93" i="26"/>
  <c r="AK93" i="26"/>
  <c r="AL93" i="26"/>
  <c r="AM93" i="26"/>
  <c r="AN93" i="26"/>
  <c r="AO93" i="26"/>
  <c r="AP93" i="26"/>
  <c r="AQ93" i="26"/>
  <c r="AR93" i="26"/>
  <c r="AS93" i="26"/>
  <c r="AT93" i="26"/>
  <c r="AU93" i="26"/>
  <c r="AV93" i="26"/>
  <c r="AW93" i="26"/>
  <c r="AX93" i="26"/>
  <c r="AY93" i="26"/>
  <c r="AZ93" i="26"/>
  <c r="BA93" i="26"/>
  <c r="BB93" i="26"/>
  <c r="BC93" i="26"/>
  <c r="BD93" i="26"/>
  <c r="BE93" i="26"/>
  <c r="BF93" i="26"/>
  <c r="BG93" i="26"/>
  <c r="I94" i="26"/>
  <c r="J94" i="26"/>
  <c r="K94" i="26"/>
  <c r="L94" i="26"/>
  <c r="M94" i="26"/>
  <c r="N94" i="26"/>
  <c r="O94" i="26"/>
  <c r="P94" i="26"/>
  <c r="Q94" i="26"/>
  <c r="R94" i="26"/>
  <c r="S94" i="26"/>
  <c r="T94" i="26"/>
  <c r="U94" i="26"/>
  <c r="V94" i="26"/>
  <c r="W94" i="26"/>
  <c r="X94" i="26"/>
  <c r="Y94" i="26"/>
  <c r="Z94" i="26"/>
  <c r="AA94" i="26"/>
  <c r="AB94" i="26"/>
  <c r="AC94" i="26"/>
  <c r="AD94" i="26"/>
  <c r="AE94" i="26"/>
  <c r="AF94" i="26"/>
  <c r="AG94" i="26"/>
  <c r="AH94" i="26"/>
  <c r="AI94" i="26"/>
  <c r="AJ94" i="26"/>
  <c r="AK94" i="26"/>
  <c r="AL94" i="26"/>
  <c r="AM94" i="26"/>
  <c r="AN94" i="26"/>
  <c r="AO94" i="26"/>
  <c r="AP94" i="26"/>
  <c r="AQ94" i="26"/>
  <c r="AR94" i="26"/>
  <c r="AS94" i="26"/>
  <c r="AT94" i="26"/>
  <c r="AU94" i="26"/>
  <c r="AV94" i="26"/>
  <c r="AW94" i="26"/>
  <c r="AX94" i="26"/>
  <c r="AY94" i="26"/>
  <c r="AZ94" i="26"/>
  <c r="BA94" i="26"/>
  <c r="BB94" i="26"/>
  <c r="BC94" i="26"/>
  <c r="BD94" i="26"/>
  <c r="BE94" i="26"/>
  <c r="BF94" i="26"/>
  <c r="BG94" i="26"/>
  <c r="I95" i="26"/>
  <c r="J95" i="26"/>
  <c r="K95" i="26"/>
  <c r="L95" i="26"/>
  <c r="M95" i="26"/>
  <c r="N95" i="26"/>
  <c r="O95" i="26"/>
  <c r="P95" i="26"/>
  <c r="Q95" i="26"/>
  <c r="R95" i="26"/>
  <c r="S95" i="26"/>
  <c r="T95" i="26"/>
  <c r="U95" i="26"/>
  <c r="V95" i="26"/>
  <c r="W95" i="26"/>
  <c r="X95" i="26"/>
  <c r="Y95" i="26"/>
  <c r="Z95" i="26"/>
  <c r="AA95" i="26"/>
  <c r="AB95" i="26"/>
  <c r="AC95" i="26"/>
  <c r="AD95" i="26"/>
  <c r="AE95" i="26"/>
  <c r="AF95" i="26"/>
  <c r="AG95" i="26"/>
  <c r="AH95" i="26"/>
  <c r="AI95" i="26"/>
  <c r="AJ95" i="26"/>
  <c r="AK95" i="26"/>
  <c r="AL95" i="26"/>
  <c r="AM95" i="26"/>
  <c r="AN95" i="26"/>
  <c r="AO95" i="26"/>
  <c r="AP95" i="26"/>
  <c r="AQ95" i="26"/>
  <c r="AR95" i="26"/>
  <c r="AS95" i="26"/>
  <c r="AT95" i="26"/>
  <c r="AU95" i="26"/>
  <c r="AV95" i="26"/>
  <c r="AW95" i="26"/>
  <c r="AX95" i="26"/>
  <c r="AY95" i="26"/>
  <c r="AZ95" i="26"/>
  <c r="BA95" i="26"/>
  <c r="BB95" i="26"/>
  <c r="BC95" i="26"/>
  <c r="BD95" i="26"/>
  <c r="BE95" i="26"/>
  <c r="BF95" i="26"/>
  <c r="BG95" i="26"/>
  <c r="I96" i="26"/>
  <c r="J96" i="26"/>
  <c r="K96" i="26"/>
  <c r="L96" i="26"/>
  <c r="M96" i="26"/>
  <c r="N96" i="26"/>
  <c r="O96" i="26"/>
  <c r="P96" i="26"/>
  <c r="Q96" i="26"/>
  <c r="R96" i="26"/>
  <c r="S96" i="26"/>
  <c r="T96" i="26"/>
  <c r="U96" i="26"/>
  <c r="V96" i="26"/>
  <c r="W96" i="26"/>
  <c r="X96" i="26"/>
  <c r="Y96" i="26"/>
  <c r="Z96" i="26"/>
  <c r="AA96" i="26"/>
  <c r="AB96" i="26"/>
  <c r="AC96" i="26"/>
  <c r="AD96" i="26"/>
  <c r="AE96" i="26"/>
  <c r="AF96" i="26"/>
  <c r="AG96" i="26"/>
  <c r="AH96" i="26"/>
  <c r="AI96" i="26"/>
  <c r="AJ96" i="26"/>
  <c r="AK96" i="26"/>
  <c r="AL96" i="26"/>
  <c r="AM96" i="26"/>
  <c r="AN96" i="26"/>
  <c r="AO96" i="26"/>
  <c r="AP96" i="26"/>
  <c r="AQ96" i="26"/>
  <c r="AR96" i="26"/>
  <c r="AS96" i="26"/>
  <c r="AT96" i="26"/>
  <c r="AU96" i="26"/>
  <c r="AV96" i="26"/>
  <c r="AW96" i="26"/>
  <c r="AX96" i="26"/>
  <c r="AY96" i="26"/>
  <c r="AZ96" i="26"/>
  <c r="BA96" i="26"/>
  <c r="BB96" i="26"/>
  <c r="BC96" i="26"/>
  <c r="BD96" i="26"/>
  <c r="BE96" i="26"/>
  <c r="BF96" i="26"/>
  <c r="BG96" i="26"/>
  <c r="I97" i="26"/>
  <c r="J97" i="26"/>
  <c r="K97" i="26"/>
  <c r="L97" i="26"/>
  <c r="M97" i="26"/>
  <c r="N97" i="26"/>
  <c r="O97" i="26"/>
  <c r="P97" i="26"/>
  <c r="Q97" i="26"/>
  <c r="R97" i="26"/>
  <c r="S97" i="26"/>
  <c r="T97" i="26"/>
  <c r="U97" i="26"/>
  <c r="V97" i="26"/>
  <c r="W97" i="26"/>
  <c r="X97" i="26"/>
  <c r="Y97" i="26"/>
  <c r="Z97" i="26"/>
  <c r="AA97" i="26"/>
  <c r="AB97" i="26"/>
  <c r="AC97" i="26"/>
  <c r="AD97" i="26"/>
  <c r="AE97" i="26"/>
  <c r="AF97" i="26"/>
  <c r="AG97" i="26"/>
  <c r="AH97" i="26"/>
  <c r="AI97" i="26"/>
  <c r="AJ97" i="26"/>
  <c r="AK97" i="26"/>
  <c r="AL97" i="26"/>
  <c r="AM97" i="26"/>
  <c r="AN97" i="26"/>
  <c r="AO97" i="26"/>
  <c r="AP97" i="26"/>
  <c r="AQ97" i="26"/>
  <c r="AR97" i="26"/>
  <c r="AS97" i="26"/>
  <c r="AT97" i="26"/>
  <c r="AU97" i="26"/>
  <c r="AV97" i="26"/>
  <c r="AW97" i="26"/>
  <c r="AX97" i="26"/>
  <c r="AY97" i="26"/>
  <c r="AZ97" i="26"/>
  <c r="BA97" i="26"/>
  <c r="BB97" i="26"/>
  <c r="BC97" i="26"/>
  <c r="BD97" i="26"/>
  <c r="BE97" i="26"/>
  <c r="BF97" i="26"/>
  <c r="BG97" i="26"/>
  <c r="I98" i="26"/>
  <c r="J98" i="26"/>
  <c r="K98" i="26"/>
  <c r="L98" i="26"/>
  <c r="M98" i="26"/>
  <c r="N98" i="26"/>
  <c r="O98" i="26"/>
  <c r="P98" i="26"/>
  <c r="Q98" i="26"/>
  <c r="R98" i="26"/>
  <c r="S98" i="26"/>
  <c r="T98" i="26"/>
  <c r="U98" i="26"/>
  <c r="V98" i="26"/>
  <c r="W98" i="26"/>
  <c r="X98" i="26"/>
  <c r="Y98" i="26"/>
  <c r="Z98" i="26"/>
  <c r="AA98" i="26"/>
  <c r="AB98" i="26"/>
  <c r="AC98" i="26"/>
  <c r="AD98" i="26"/>
  <c r="AE98" i="26"/>
  <c r="AF98" i="26"/>
  <c r="AG98" i="26"/>
  <c r="AH98" i="26"/>
  <c r="AI98" i="26"/>
  <c r="AJ98" i="26"/>
  <c r="AK98" i="26"/>
  <c r="AL98" i="26"/>
  <c r="AM98" i="26"/>
  <c r="AN98" i="26"/>
  <c r="AO98" i="26"/>
  <c r="AP98" i="26"/>
  <c r="AQ98" i="26"/>
  <c r="AR98" i="26"/>
  <c r="AS98" i="26"/>
  <c r="AT98" i="26"/>
  <c r="AU98" i="26"/>
  <c r="AV98" i="26"/>
  <c r="AW98" i="26"/>
  <c r="AX98" i="26"/>
  <c r="AY98" i="26"/>
  <c r="AZ98" i="26"/>
  <c r="BA98" i="26"/>
  <c r="BB98" i="26"/>
  <c r="BC98" i="26"/>
  <c r="BD98" i="26"/>
  <c r="BE98" i="26"/>
  <c r="BF98" i="26"/>
  <c r="BG98" i="26"/>
  <c r="I99" i="26"/>
  <c r="J99" i="26"/>
  <c r="K99" i="26"/>
  <c r="L99" i="26"/>
  <c r="M99" i="26"/>
  <c r="N99" i="26"/>
  <c r="O99" i="26"/>
  <c r="P99" i="26"/>
  <c r="Q99" i="26"/>
  <c r="R99" i="26"/>
  <c r="S99" i="26"/>
  <c r="T99" i="26"/>
  <c r="U99" i="26"/>
  <c r="V99" i="26"/>
  <c r="W99" i="26"/>
  <c r="X99" i="26"/>
  <c r="Y99" i="26"/>
  <c r="Z99" i="26"/>
  <c r="AA99" i="26"/>
  <c r="AB99" i="26"/>
  <c r="AC99" i="26"/>
  <c r="AD99" i="26"/>
  <c r="AE99" i="26"/>
  <c r="AF99" i="26"/>
  <c r="AG99" i="26"/>
  <c r="AH99" i="26"/>
  <c r="AI99" i="26"/>
  <c r="AJ99" i="26"/>
  <c r="AK99" i="26"/>
  <c r="AL99" i="26"/>
  <c r="AM99" i="26"/>
  <c r="AN99" i="26"/>
  <c r="AO99" i="26"/>
  <c r="AP99" i="26"/>
  <c r="AQ99" i="26"/>
  <c r="AR99" i="26"/>
  <c r="AS99" i="26"/>
  <c r="AT99" i="26"/>
  <c r="AU99" i="26"/>
  <c r="AV99" i="26"/>
  <c r="AW99" i="26"/>
  <c r="AX99" i="26"/>
  <c r="AY99" i="26"/>
  <c r="AZ99" i="26"/>
  <c r="BA99" i="26"/>
  <c r="BB99" i="26"/>
  <c r="BC99" i="26"/>
  <c r="BD99" i="26"/>
  <c r="BE99" i="26"/>
  <c r="BF99" i="26"/>
  <c r="BG99" i="26"/>
  <c r="I100" i="26"/>
  <c r="J100" i="26"/>
  <c r="K100" i="26"/>
  <c r="L100" i="26"/>
  <c r="M100" i="26"/>
  <c r="N100" i="26"/>
  <c r="O100" i="26"/>
  <c r="P100" i="26"/>
  <c r="Q100" i="26"/>
  <c r="R100" i="26"/>
  <c r="S100" i="26"/>
  <c r="T100" i="26"/>
  <c r="U100" i="26"/>
  <c r="V100" i="26"/>
  <c r="W100" i="26"/>
  <c r="X100" i="26"/>
  <c r="Y100" i="26"/>
  <c r="Z100" i="26"/>
  <c r="AA100" i="26"/>
  <c r="AB100" i="26"/>
  <c r="AC100" i="26"/>
  <c r="AD100" i="26"/>
  <c r="AE100" i="26"/>
  <c r="AF100" i="26"/>
  <c r="AG100" i="26"/>
  <c r="AH100" i="26"/>
  <c r="AI100" i="26"/>
  <c r="AJ100" i="26"/>
  <c r="AK100" i="26"/>
  <c r="AL100" i="26"/>
  <c r="AM100" i="26"/>
  <c r="AN100" i="26"/>
  <c r="AO100" i="26"/>
  <c r="AP100" i="26"/>
  <c r="AQ100" i="26"/>
  <c r="AR100" i="26"/>
  <c r="AS100" i="26"/>
  <c r="AT100" i="26"/>
  <c r="AU100" i="26"/>
  <c r="AV100" i="26"/>
  <c r="AW100" i="26"/>
  <c r="AX100" i="26"/>
  <c r="AY100" i="26"/>
  <c r="AZ100" i="26"/>
  <c r="BA100" i="26"/>
  <c r="BB100" i="26"/>
  <c r="BC100" i="26"/>
  <c r="BD100" i="26"/>
  <c r="BE100" i="26"/>
  <c r="BF100" i="26"/>
  <c r="BG100" i="26"/>
  <c r="I101" i="26"/>
  <c r="J101" i="26"/>
  <c r="K101" i="26"/>
  <c r="L101" i="26"/>
  <c r="M101" i="26"/>
  <c r="N101" i="26"/>
  <c r="O101" i="26"/>
  <c r="P101" i="26"/>
  <c r="Q101" i="26"/>
  <c r="R101" i="26"/>
  <c r="S101" i="26"/>
  <c r="T101" i="26"/>
  <c r="U101" i="26"/>
  <c r="V101" i="26"/>
  <c r="W101" i="26"/>
  <c r="X101" i="26"/>
  <c r="Y101" i="26"/>
  <c r="Z101" i="26"/>
  <c r="AA101" i="26"/>
  <c r="AB101" i="26"/>
  <c r="AC101" i="26"/>
  <c r="AD101" i="26"/>
  <c r="AE101" i="26"/>
  <c r="AF101" i="26"/>
  <c r="AG101" i="26"/>
  <c r="AH101" i="26"/>
  <c r="AI101" i="26"/>
  <c r="AJ101" i="26"/>
  <c r="AK101" i="26"/>
  <c r="AL101" i="26"/>
  <c r="AM101" i="26"/>
  <c r="AN101" i="26"/>
  <c r="AO101" i="26"/>
  <c r="AP101" i="26"/>
  <c r="AQ101" i="26"/>
  <c r="AR101" i="26"/>
  <c r="AS101" i="26"/>
  <c r="AT101" i="26"/>
  <c r="AU101" i="26"/>
  <c r="AV101" i="26"/>
  <c r="AW101" i="26"/>
  <c r="AX101" i="26"/>
  <c r="AY101" i="26"/>
  <c r="AZ101" i="26"/>
  <c r="BA101" i="26"/>
  <c r="BB101" i="26"/>
  <c r="BC101" i="26"/>
  <c r="BD101" i="26"/>
  <c r="BE101" i="26"/>
  <c r="BF101" i="26"/>
  <c r="BG101" i="26"/>
  <c r="I102" i="26"/>
  <c r="J102" i="26"/>
  <c r="K102" i="26"/>
  <c r="L102" i="26"/>
  <c r="M102" i="26"/>
  <c r="N102" i="26"/>
  <c r="O102" i="26"/>
  <c r="P102" i="26"/>
  <c r="Q102" i="26"/>
  <c r="R102" i="26"/>
  <c r="S102" i="26"/>
  <c r="T102" i="26"/>
  <c r="U102" i="26"/>
  <c r="V102" i="26"/>
  <c r="W102" i="26"/>
  <c r="X102" i="26"/>
  <c r="Y102" i="26"/>
  <c r="Z102" i="26"/>
  <c r="AA102" i="26"/>
  <c r="AB102" i="26"/>
  <c r="AC102" i="26"/>
  <c r="AD102" i="26"/>
  <c r="AE102" i="26"/>
  <c r="AF102" i="26"/>
  <c r="AG102" i="26"/>
  <c r="AH102" i="26"/>
  <c r="AI102" i="26"/>
  <c r="AJ102" i="26"/>
  <c r="AK102" i="26"/>
  <c r="AL102" i="26"/>
  <c r="AM102" i="26"/>
  <c r="AN102" i="26"/>
  <c r="AO102" i="26"/>
  <c r="AP102" i="26"/>
  <c r="AQ102" i="26"/>
  <c r="AR102" i="26"/>
  <c r="AS102" i="26"/>
  <c r="AT102" i="26"/>
  <c r="AU102" i="26"/>
  <c r="AV102" i="26"/>
  <c r="AW102" i="26"/>
  <c r="AX102" i="26"/>
  <c r="AY102" i="26"/>
  <c r="AZ102" i="26"/>
  <c r="BA102" i="26"/>
  <c r="BB102" i="26"/>
  <c r="BC102" i="26"/>
  <c r="BD102" i="26"/>
  <c r="BE102" i="26"/>
  <c r="BF102" i="26"/>
  <c r="BG102" i="26"/>
  <c r="I103" i="26"/>
  <c r="J103" i="26"/>
  <c r="K103" i="26"/>
  <c r="L103" i="26"/>
  <c r="M103" i="26"/>
  <c r="N103" i="26"/>
  <c r="O103" i="26"/>
  <c r="P103" i="26"/>
  <c r="Q103" i="26"/>
  <c r="R103" i="26"/>
  <c r="S103" i="26"/>
  <c r="T103" i="26"/>
  <c r="U103" i="26"/>
  <c r="V103" i="26"/>
  <c r="W103" i="26"/>
  <c r="X103" i="26"/>
  <c r="Y103" i="26"/>
  <c r="Z103" i="26"/>
  <c r="AA103" i="26"/>
  <c r="AB103" i="26"/>
  <c r="AC103" i="26"/>
  <c r="AD103" i="26"/>
  <c r="AE103" i="26"/>
  <c r="AF103" i="26"/>
  <c r="AG103" i="26"/>
  <c r="AH103" i="26"/>
  <c r="AI103" i="26"/>
  <c r="AJ103" i="26"/>
  <c r="AK103" i="26"/>
  <c r="AL103" i="26"/>
  <c r="AM103" i="26"/>
  <c r="AN103" i="26"/>
  <c r="AO103" i="26"/>
  <c r="AP103" i="26"/>
  <c r="AQ103" i="26"/>
  <c r="AR103" i="26"/>
  <c r="AS103" i="26"/>
  <c r="AT103" i="26"/>
  <c r="AU103" i="26"/>
  <c r="AV103" i="26"/>
  <c r="AW103" i="26"/>
  <c r="AX103" i="26"/>
  <c r="AY103" i="26"/>
  <c r="AZ103" i="26"/>
  <c r="BA103" i="26"/>
  <c r="BB103" i="26"/>
  <c r="BC103" i="26"/>
  <c r="BD103" i="26"/>
  <c r="BE103" i="26"/>
  <c r="BF103" i="26"/>
  <c r="BG103" i="26"/>
  <c r="I104" i="26"/>
  <c r="J104" i="26"/>
  <c r="K104" i="26"/>
  <c r="L104" i="26"/>
  <c r="M104" i="26"/>
  <c r="N104" i="26"/>
  <c r="O104" i="26"/>
  <c r="P104" i="26"/>
  <c r="Q104" i="26"/>
  <c r="R104" i="26"/>
  <c r="S104" i="26"/>
  <c r="T104" i="26"/>
  <c r="U104" i="26"/>
  <c r="V104" i="26"/>
  <c r="W104" i="26"/>
  <c r="X104" i="26"/>
  <c r="Y104" i="26"/>
  <c r="Z104" i="26"/>
  <c r="AA104" i="26"/>
  <c r="AB104" i="26"/>
  <c r="AC104" i="26"/>
  <c r="AD104" i="26"/>
  <c r="AE104" i="26"/>
  <c r="AF104" i="26"/>
  <c r="AG104" i="26"/>
  <c r="AH104" i="26"/>
  <c r="AI104" i="26"/>
  <c r="AJ104" i="26"/>
  <c r="AK104" i="26"/>
  <c r="AL104" i="26"/>
  <c r="AM104" i="26"/>
  <c r="AN104" i="26"/>
  <c r="AO104" i="26"/>
  <c r="AP104" i="26"/>
  <c r="AQ104" i="26"/>
  <c r="AR104" i="26"/>
  <c r="AS104" i="26"/>
  <c r="AT104" i="26"/>
  <c r="AU104" i="26"/>
  <c r="AV104" i="26"/>
  <c r="AW104" i="26"/>
  <c r="AX104" i="26"/>
  <c r="AY104" i="26"/>
  <c r="AZ104" i="26"/>
  <c r="BA104" i="26"/>
  <c r="BB104" i="26"/>
  <c r="BC104" i="26"/>
  <c r="BD104" i="26"/>
  <c r="BE104" i="26"/>
  <c r="BF104" i="26"/>
  <c r="BG104" i="26"/>
  <c r="I105" i="26"/>
  <c r="J105" i="26"/>
  <c r="K105" i="26"/>
  <c r="L105" i="26"/>
  <c r="M105" i="26"/>
  <c r="N105" i="26"/>
  <c r="O105" i="26"/>
  <c r="P105" i="26"/>
  <c r="Q105" i="26"/>
  <c r="R105" i="26"/>
  <c r="S105" i="26"/>
  <c r="T105" i="26"/>
  <c r="U105" i="26"/>
  <c r="V105" i="26"/>
  <c r="W105" i="26"/>
  <c r="X105" i="26"/>
  <c r="Y105" i="26"/>
  <c r="Z105" i="26"/>
  <c r="AA105" i="26"/>
  <c r="AB105" i="26"/>
  <c r="AC105" i="26"/>
  <c r="AD105" i="26"/>
  <c r="AE105" i="26"/>
  <c r="AF105" i="26"/>
  <c r="AG105" i="26"/>
  <c r="AH105" i="26"/>
  <c r="AI105" i="26"/>
  <c r="AJ105" i="26"/>
  <c r="AK105" i="26"/>
  <c r="AL105" i="26"/>
  <c r="AM105" i="26"/>
  <c r="AN105" i="26"/>
  <c r="AO105" i="26"/>
  <c r="AP105" i="26"/>
  <c r="AQ105" i="26"/>
  <c r="AR105" i="26"/>
  <c r="AS105" i="26"/>
  <c r="AT105" i="26"/>
  <c r="AU105" i="26"/>
  <c r="AV105" i="26"/>
  <c r="AW105" i="26"/>
  <c r="AX105" i="26"/>
  <c r="AY105" i="26"/>
  <c r="AZ105" i="26"/>
  <c r="BA105" i="26"/>
  <c r="BB105" i="26"/>
  <c r="BC105" i="26"/>
  <c r="BD105" i="26"/>
  <c r="BE105" i="26"/>
  <c r="BF105" i="26"/>
  <c r="BG105" i="26"/>
  <c r="I106" i="26"/>
  <c r="J106" i="26"/>
  <c r="K106" i="26"/>
  <c r="L106" i="26"/>
  <c r="M106" i="26"/>
  <c r="N106" i="26"/>
  <c r="O106" i="26"/>
  <c r="P106" i="26"/>
  <c r="Q106" i="26"/>
  <c r="R106" i="26"/>
  <c r="S106" i="26"/>
  <c r="T106" i="26"/>
  <c r="U106" i="26"/>
  <c r="V106" i="26"/>
  <c r="W106" i="26"/>
  <c r="X106" i="26"/>
  <c r="Y106" i="26"/>
  <c r="Z106" i="26"/>
  <c r="AA106" i="26"/>
  <c r="AB106" i="26"/>
  <c r="AC106" i="26"/>
  <c r="AD106" i="26"/>
  <c r="AE106" i="26"/>
  <c r="AF106" i="26"/>
  <c r="AG106" i="26"/>
  <c r="AH106" i="26"/>
  <c r="AI106" i="26"/>
  <c r="AJ106" i="26"/>
  <c r="AK106" i="26"/>
  <c r="AL106" i="26"/>
  <c r="AM106" i="26"/>
  <c r="AN106" i="26"/>
  <c r="AO106" i="26"/>
  <c r="AP106" i="26"/>
  <c r="AQ106" i="26"/>
  <c r="AR106" i="26"/>
  <c r="AS106" i="26"/>
  <c r="AT106" i="26"/>
  <c r="AU106" i="26"/>
  <c r="AV106" i="26"/>
  <c r="AW106" i="26"/>
  <c r="AX106" i="26"/>
  <c r="AY106" i="26"/>
  <c r="AZ106" i="26"/>
  <c r="BA106" i="26"/>
  <c r="BB106" i="26"/>
  <c r="BC106" i="26"/>
  <c r="BD106" i="26"/>
  <c r="BE106" i="26"/>
  <c r="BF106" i="26"/>
  <c r="BG106" i="26"/>
  <c r="I107" i="26"/>
  <c r="J107" i="26"/>
  <c r="K107" i="26"/>
  <c r="L107" i="26"/>
  <c r="M107" i="26"/>
  <c r="N107" i="26"/>
  <c r="O107" i="26"/>
  <c r="P107" i="26"/>
  <c r="Q107" i="26"/>
  <c r="R107" i="26"/>
  <c r="S107" i="26"/>
  <c r="T107" i="26"/>
  <c r="U107" i="26"/>
  <c r="V107" i="26"/>
  <c r="W107" i="26"/>
  <c r="X107" i="26"/>
  <c r="Y107" i="26"/>
  <c r="Z107" i="26"/>
  <c r="AA107" i="26"/>
  <c r="AB107" i="26"/>
  <c r="AC107" i="26"/>
  <c r="AD107" i="26"/>
  <c r="AE107" i="26"/>
  <c r="AF107" i="26"/>
  <c r="AG107" i="26"/>
  <c r="AH107" i="26"/>
  <c r="AI107" i="26"/>
  <c r="AJ107" i="26"/>
  <c r="AK107" i="26"/>
  <c r="AL107" i="26"/>
  <c r="AM107" i="26"/>
  <c r="AN107" i="26"/>
  <c r="AO107" i="26"/>
  <c r="AP107" i="26"/>
  <c r="AQ107" i="26"/>
  <c r="AR107" i="26"/>
  <c r="AS107" i="26"/>
  <c r="AT107" i="26"/>
  <c r="AU107" i="26"/>
  <c r="AV107" i="26"/>
  <c r="AW107" i="26"/>
  <c r="AX107" i="26"/>
  <c r="AY107" i="26"/>
  <c r="AZ107" i="26"/>
  <c r="BA107" i="26"/>
  <c r="BB107" i="26"/>
  <c r="BC107" i="26"/>
  <c r="BD107" i="26"/>
  <c r="BE107" i="26"/>
  <c r="BF107" i="26"/>
  <c r="BG107" i="26"/>
  <c r="I108" i="26"/>
  <c r="J108" i="26"/>
  <c r="K108" i="26"/>
  <c r="L108" i="26"/>
  <c r="M108" i="26"/>
  <c r="N108" i="26"/>
  <c r="O108" i="26"/>
  <c r="P108" i="26"/>
  <c r="Q108" i="26"/>
  <c r="R108" i="26"/>
  <c r="S108" i="26"/>
  <c r="T108" i="26"/>
  <c r="U108" i="26"/>
  <c r="V108" i="26"/>
  <c r="W108" i="26"/>
  <c r="X108" i="26"/>
  <c r="Y108" i="26"/>
  <c r="Z108" i="26"/>
  <c r="AA108" i="26"/>
  <c r="AB108" i="26"/>
  <c r="AC108" i="26"/>
  <c r="AD108" i="26"/>
  <c r="AE108" i="26"/>
  <c r="AF108" i="26"/>
  <c r="AG108" i="26"/>
  <c r="AH108" i="26"/>
  <c r="AI108" i="26"/>
  <c r="AJ108" i="26"/>
  <c r="AK108" i="26"/>
  <c r="AL108" i="26"/>
  <c r="AM108" i="26"/>
  <c r="AN108" i="26"/>
  <c r="AO108" i="26"/>
  <c r="AP108" i="26"/>
  <c r="AQ108" i="26"/>
  <c r="AR108" i="26"/>
  <c r="AS108" i="26"/>
  <c r="AT108" i="26"/>
  <c r="AU108" i="26"/>
  <c r="AV108" i="26"/>
  <c r="AW108" i="26"/>
  <c r="AX108" i="26"/>
  <c r="AY108" i="26"/>
  <c r="AZ108" i="26"/>
  <c r="BA108" i="26"/>
  <c r="BB108" i="26"/>
  <c r="BC108" i="26"/>
  <c r="BD108" i="26"/>
  <c r="BE108" i="26"/>
  <c r="BF108" i="26"/>
  <c r="BG108" i="26"/>
  <c r="I109" i="26"/>
  <c r="J109" i="26"/>
  <c r="K109" i="26"/>
  <c r="L109" i="26"/>
  <c r="M109" i="26"/>
  <c r="N109" i="26"/>
  <c r="O109" i="26"/>
  <c r="P109" i="26"/>
  <c r="Q109" i="26"/>
  <c r="R109" i="26"/>
  <c r="S109" i="26"/>
  <c r="T109" i="26"/>
  <c r="U109" i="26"/>
  <c r="V109" i="26"/>
  <c r="W109" i="26"/>
  <c r="X109" i="26"/>
  <c r="Y109" i="26"/>
  <c r="Z109" i="26"/>
  <c r="AA109" i="26"/>
  <c r="AB109" i="26"/>
  <c r="AC109" i="26"/>
  <c r="AD109" i="26"/>
  <c r="AE109" i="26"/>
  <c r="AF109" i="26"/>
  <c r="AG109" i="26"/>
  <c r="AH109" i="26"/>
  <c r="AI109" i="26"/>
  <c r="AJ109" i="26"/>
  <c r="AK109" i="26"/>
  <c r="AL109" i="26"/>
  <c r="AM109" i="26"/>
  <c r="AN109" i="26"/>
  <c r="AO109" i="26"/>
  <c r="AP109" i="26"/>
  <c r="AQ109" i="26"/>
  <c r="AR109" i="26"/>
  <c r="AS109" i="26"/>
  <c r="AT109" i="26"/>
  <c r="AU109" i="26"/>
  <c r="AV109" i="26"/>
  <c r="AW109" i="26"/>
  <c r="AX109" i="26"/>
  <c r="AY109" i="26"/>
  <c r="AZ109" i="26"/>
  <c r="BA109" i="26"/>
  <c r="BB109" i="26"/>
  <c r="BC109" i="26"/>
  <c r="BD109" i="26"/>
  <c r="BE109" i="26"/>
  <c r="BF109" i="26"/>
  <c r="BG109" i="26"/>
  <c r="I110" i="26"/>
  <c r="J110" i="26"/>
  <c r="K110" i="26"/>
  <c r="L110" i="26"/>
  <c r="M110" i="26"/>
  <c r="N110" i="26"/>
  <c r="O110" i="26"/>
  <c r="P110" i="26"/>
  <c r="Q110" i="26"/>
  <c r="R110" i="26"/>
  <c r="S110" i="26"/>
  <c r="T110" i="26"/>
  <c r="U110" i="26"/>
  <c r="V110" i="26"/>
  <c r="W110" i="26"/>
  <c r="X110" i="26"/>
  <c r="Y110" i="26"/>
  <c r="Z110" i="26"/>
  <c r="AA110" i="26"/>
  <c r="AB110" i="26"/>
  <c r="AC110" i="26"/>
  <c r="AD110" i="26"/>
  <c r="AE110" i="26"/>
  <c r="AF110" i="26"/>
  <c r="AG110" i="26"/>
  <c r="AH110" i="26"/>
  <c r="AI110" i="26"/>
  <c r="AJ110" i="26"/>
  <c r="AK110" i="26"/>
  <c r="AL110" i="26"/>
  <c r="AM110" i="26"/>
  <c r="AN110" i="26"/>
  <c r="AO110" i="26"/>
  <c r="AP110" i="26"/>
  <c r="AQ110" i="26"/>
  <c r="AR110" i="26"/>
  <c r="AS110" i="26"/>
  <c r="AT110" i="26"/>
  <c r="AU110" i="26"/>
  <c r="AV110" i="26"/>
  <c r="AW110" i="26"/>
  <c r="AX110" i="26"/>
  <c r="AY110" i="26"/>
  <c r="AZ110" i="26"/>
  <c r="BA110" i="26"/>
  <c r="BB110" i="26"/>
  <c r="BC110" i="26"/>
  <c r="BD110" i="26"/>
  <c r="BE110" i="26"/>
  <c r="BF110" i="26"/>
  <c r="BG110" i="26"/>
  <c r="I111" i="26"/>
  <c r="J111" i="26"/>
  <c r="K111" i="26"/>
  <c r="L111" i="26"/>
  <c r="M111" i="26"/>
  <c r="N111" i="26"/>
  <c r="O111" i="26"/>
  <c r="P111" i="26"/>
  <c r="Q111" i="26"/>
  <c r="R111" i="26"/>
  <c r="S111" i="26"/>
  <c r="T111" i="26"/>
  <c r="U111" i="26"/>
  <c r="V111" i="26"/>
  <c r="W111" i="26"/>
  <c r="X111" i="26"/>
  <c r="Y111" i="26"/>
  <c r="Z111" i="26"/>
  <c r="AA111" i="26"/>
  <c r="AB111" i="26"/>
  <c r="AC111" i="26"/>
  <c r="AD111" i="26"/>
  <c r="AE111" i="26"/>
  <c r="AF111" i="26"/>
  <c r="AG111" i="26"/>
  <c r="AH111" i="26"/>
  <c r="AI111" i="26"/>
  <c r="AJ111" i="26"/>
  <c r="AK111" i="26"/>
  <c r="AL111" i="26"/>
  <c r="AM111" i="26"/>
  <c r="AN111" i="26"/>
  <c r="AO111" i="26"/>
  <c r="AP111" i="26"/>
  <c r="AQ111" i="26"/>
  <c r="AR111" i="26"/>
  <c r="AS111" i="26"/>
  <c r="AT111" i="26"/>
  <c r="AU111" i="26"/>
  <c r="AV111" i="26"/>
  <c r="AW111" i="26"/>
  <c r="AX111" i="26"/>
  <c r="AY111" i="26"/>
  <c r="AZ111" i="26"/>
  <c r="BA111" i="26"/>
  <c r="BB111" i="26"/>
  <c r="BC111" i="26"/>
  <c r="BD111" i="26"/>
  <c r="BE111" i="26"/>
  <c r="BF111" i="26"/>
  <c r="BG111" i="26"/>
  <c r="I112" i="26"/>
  <c r="J112" i="26"/>
  <c r="K112" i="26"/>
  <c r="L112" i="26"/>
  <c r="M112" i="26"/>
  <c r="N112" i="26"/>
  <c r="O112" i="26"/>
  <c r="P112" i="26"/>
  <c r="Q112" i="26"/>
  <c r="R112" i="26"/>
  <c r="S112" i="26"/>
  <c r="T112" i="26"/>
  <c r="U112" i="26"/>
  <c r="V112" i="26"/>
  <c r="W112" i="26"/>
  <c r="X112" i="26"/>
  <c r="Y112" i="26"/>
  <c r="Z112" i="26"/>
  <c r="AA112" i="26"/>
  <c r="AB112" i="26"/>
  <c r="AC112" i="26"/>
  <c r="AD112" i="26"/>
  <c r="AE112" i="26"/>
  <c r="AF112" i="26"/>
  <c r="AG112" i="26"/>
  <c r="AH112" i="26"/>
  <c r="AI112" i="26"/>
  <c r="AJ112" i="26"/>
  <c r="AK112" i="26"/>
  <c r="AL112" i="26"/>
  <c r="AM112" i="26"/>
  <c r="AN112" i="26"/>
  <c r="AO112" i="26"/>
  <c r="AP112" i="26"/>
  <c r="AQ112" i="26"/>
  <c r="AR112" i="26"/>
  <c r="AS112" i="26"/>
  <c r="AT112" i="26"/>
  <c r="AU112" i="26"/>
  <c r="AV112" i="26"/>
  <c r="AW112" i="26"/>
  <c r="AX112" i="26"/>
  <c r="AY112" i="26"/>
  <c r="AZ112" i="26"/>
  <c r="BA112" i="26"/>
  <c r="BB112" i="26"/>
  <c r="BC112" i="26"/>
  <c r="BD112" i="26"/>
  <c r="BE112" i="26"/>
  <c r="BF112" i="26"/>
  <c r="BG112" i="26"/>
  <c r="I113" i="26"/>
  <c r="J113" i="26"/>
  <c r="K113" i="26"/>
  <c r="L113" i="26"/>
  <c r="M113" i="26"/>
  <c r="N113" i="26"/>
  <c r="O113" i="26"/>
  <c r="P113" i="26"/>
  <c r="Q113" i="26"/>
  <c r="R113" i="26"/>
  <c r="S113" i="26"/>
  <c r="T113" i="26"/>
  <c r="U113" i="26"/>
  <c r="V113" i="26"/>
  <c r="W113" i="26"/>
  <c r="X113" i="26"/>
  <c r="Y113" i="26"/>
  <c r="Z113" i="26"/>
  <c r="AA113" i="26"/>
  <c r="AB113" i="26"/>
  <c r="AC113" i="26"/>
  <c r="AD113" i="26"/>
  <c r="AE113" i="26"/>
  <c r="AF113" i="26"/>
  <c r="AG113" i="26"/>
  <c r="AH113" i="26"/>
  <c r="AI113" i="26"/>
  <c r="AJ113" i="26"/>
  <c r="AK113" i="26"/>
  <c r="AL113" i="26"/>
  <c r="AM113" i="26"/>
  <c r="AN113" i="26"/>
  <c r="AO113" i="26"/>
  <c r="AP113" i="26"/>
  <c r="AQ113" i="26"/>
  <c r="AR113" i="26"/>
  <c r="AS113" i="26"/>
  <c r="AT113" i="26"/>
  <c r="AU113" i="26"/>
  <c r="AV113" i="26"/>
  <c r="AW113" i="26"/>
  <c r="AX113" i="26"/>
  <c r="AY113" i="26"/>
  <c r="AZ113" i="26"/>
  <c r="BA113" i="26"/>
  <c r="BB113" i="26"/>
  <c r="BC113" i="26"/>
  <c r="BD113" i="26"/>
  <c r="BE113" i="26"/>
  <c r="BF113" i="26"/>
  <c r="BG113" i="26"/>
  <c r="I114" i="26"/>
  <c r="J114" i="26"/>
  <c r="K114" i="26"/>
  <c r="L114" i="26"/>
  <c r="M114" i="26"/>
  <c r="N114" i="26"/>
  <c r="O114" i="26"/>
  <c r="P114" i="26"/>
  <c r="Q114" i="26"/>
  <c r="R114" i="26"/>
  <c r="S114" i="26"/>
  <c r="T114" i="26"/>
  <c r="U114" i="26"/>
  <c r="V114" i="26"/>
  <c r="W114" i="26"/>
  <c r="X114" i="26"/>
  <c r="Y114" i="26"/>
  <c r="Z114" i="26"/>
  <c r="AA114" i="26"/>
  <c r="AB114" i="26"/>
  <c r="AC114" i="26"/>
  <c r="AD114" i="26"/>
  <c r="AE114" i="26"/>
  <c r="AF114" i="26"/>
  <c r="AG114" i="26"/>
  <c r="AH114" i="26"/>
  <c r="AI114" i="26"/>
  <c r="AJ114" i="26"/>
  <c r="AK114" i="26"/>
  <c r="AL114" i="26"/>
  <c r="AM114" i="26"/>
  <c r="AN114" i="26"/>
  <c r="AO114" i="26"/>
  <c r="AP114" i="26"/>
  <c r="AQ114" i="26"/>
  <c r="AR114" i="26"/>
  <c r="AS114" i="26"/>
  <c r="AT114" i="26"/>
  <c r="AU114" i="26"/>
  <c r="AV114" i="26"/>
  <c r="AW114" i="26"/>
  <c r="AX114" i="26"/>
  <c r="AY114" i="26"/>
  <c r="AZ114" i="26"/>
  <c r="BA114" i="26"/>
  <c r="BB114" i="26"/>
  <c r="BC114" i="26"/>
  <c r="BD114" i="26"/>
  <c r="BE114" i="26"/>
  <c r="BF114" i="26"/>
  <c r="BG114" i="26"/>
  <c r="I115" i="26"/>
  <c r="J115" i="26"/>
  <c r="K115" i="26"/>
  <c r="L115" i="26"/>
  <c r="M115" i="26"/>
  <c r="N115" i="26"/>
  <c r="O115" i="26"/>
  <c r="P115" i="26"/>
  <c r="Q115" i="26"/>
  <c r="R115" i="26"/>
  <c r="S115" i="26"/>
  <c r="T115" i="26"/>
  <c r="U115" i="26"/>
  <c r="V115" i="26"/>
  <c r="W115" i="26"/>
  <c r="X115" i="26"/>
  <c r="Y115" i="26"/>
  <c r="Z115" i="26"/>
  <c r="AA115" i="26"/>
  <c r="AB115" i="26"/>
  <c r="AC115" i="26"/>
  <c r="AD115" i="26"/>
  <c r="AE115" i="26"/>
  <c r="AF115" i="26"/>
  <c r="AG115" i="26"/>
  <c r="AH115" i="26"/>
  <c r="AI115" i="26"/>
  <c r="AJ115" i="26"/>
  <c r="AK115" i="26"/>
  <c r="AL115" i="26"/>
  <c r="AM115" i="26"/>
  <c r="AN115" i="26"/>
  <c r="AO115" i="26"/>
  <c r="AP115" i="26"/>
  <c r="AQ115" i="26"/>
  <c r="AR115" i="26"/>
  <c r="AS115" i="26"/>
  <c r="AT115" i="26"/>
  <c r="AU115" i="26"/>
  <c r="AV115" i="26"/>
  <c r="AW115" i="26"/>
  <c r="AX115" i="26"/>
  <c r="AY115" i="26"/>
  <c r="AZ115" i="26"/>
  <c r="BA115" i="26"/>
  <c r="BB115" i="26"/>
  <c r="BC115" i="26"/>
  <c r="BD115" i="26"/>
  <c r="BE115" i="26"/>
  <c r="BF115" i="26"/>
  <c r="BG115" i="26"/>
  <c r="I116" i="26"/>
  <c r="J116" i="26"/>
  <c r="K116" i="26"/>
  <c r="L116" i="26"/>
  <c r="M116" i="26"/>
  <c r="N116" i="26"/>
  <c r="O116" i="26"/>
  <c r="P116" i="26"/>
  <c r="Q116" i="26"/>
  <c r="R116" i="26"/>
  <c r="S116" i="26"/>
  <c r="T116" i="26"/>
  <c r="U116" i="26"/>
  <c r="V116" i="26"/>
  <c r="W116" i="26"/>
  <c r="X116" i="26"/>
  <c r="Y116" i="26"/>
  <c r="Z116" i="26"/>
  <c r="AA116" i="26"/>
  <c r="AB116" i="26"/>
  <c r="AC116" i="26"/>
  <c r="AD116" i="26"/>
  <c r="AE116" i="26"/>
  <c r="AF116" i="26"/>
  <c r="AG116" i="26"/>
  <c r="AH116" i="26"/>
  <c r="AI116" i="26"/>
  <c r="AJ116" i="26"/>
  <c r="AK116" i="26"/>
  <c r="AL116" i="26"/>
  <c r="AM116" i="26"/>
  <c r="AN116" i="26"/>
  <c r="AO116" i="26"/>
  <c r="AP116" i="26"/>
  <c r="AQ116" i="26"/>
  <c r="AR116" i="26"/>
  <c r="AS116" i="26"/>
  <c r="AT116" i="26"/>
  <c r="AU116" i="26"/>
  <c r="AV116" i="26"/>
  <c r="AW116" i="26"/>
  <c r="AX116" i="26"/>
  <c r="AY116" i="26"/>
  <c r="AZ116" i="26"/>
  <c r="BA116" i="26"/>
  <c r="BB116" i="26"/>
  <c r="BC116" i="26"/>
  <c r="BD116" i="26"/>
  <c r="BE116" i="26"/>
  <c r="BF116" i="26"/>
  <c r="BG116" i="26"/>
  <c r="I117" i="26"/>
  <c r="J117" i="26"/>
  <c r="K117" i="26"/>
  <c r="L117" i="26"/>
  <c r="M117" i="26"/>
  <c r="N117" i="26"/>
  <c r="O117" i="26"/>
  <c r="P117" i="26"/>
  <c r="Q117" i="26"/>
  <c r="R117" i="26"/>
  <c r="S117" i="26"/>
  <c r="T117" i="26"/>
  <c r="U117" i="26"/>
  <c r="V117" i="26"/>
  <c r="W117" i="26"/>
  <c r="X117" i="26"/>
  <c r="Y117" i="26"/>
  <c r="Z117" i="26"/>
  <c r="AA117" i="26"/>
  <c r="AB117" i="26"/>
  <c r="AC117" i="26"/>
  <c r="AD117" i="26"/>
  <c r="AE117" i="26"/>
  <c r="AF117" i="26"/>
  <c r="AG117" i="26"/>
  <c r="AH117" i="26"/>
  <c r="AI117" i="26"/>
  <c r="AJ117" i="26"/>
  <c r="AK117" i="26"/>
  <c r="AL117" i="26"/>
  <c r="AM117" i="26"/>
  <c r="AN117" i="26"/>
  <c r="AO117" i="26"/>
  <c r="AP117" i="26"/>
  <c r="AQ117" i="26"/>
  <c r="AR117" i="26"/>
  <c r="AS117" i="26"/>
  <c r="AT117" i="26"/>
  <c r="AU117" i="26"/>
  <c r="AV117" i="26"/>
  <c r="AW117" i="26"/>
  <c r="AX117" i="26"/>
  <c r="AY117" i="26"/>
  <c r="AZ117" i="26"/>
  <c r="BA117" i="26"/>
  <c r="BB117" i="26"/>
  <c r="BC117" i="26"/>
  <c r="BD117" i="26"/>
  <c r="BE117" i="26"/>
  <c r="BF117" i="26"/>
  <c r="BG117" i="26"/>
  <c r="I118" i="26"/>
  <c r="J118" i="26"/>
  <c r="K118" i="26"/>
  <c r="L118" i="26"/>
  <c r="M118" i="26"/>
  <c r="N118" i="26"/>
  <c r="O118" i="26"/>
  <c r="P118" i="26"/>
  <c r="Q118" i="26"/>
  <c r="R118" i="26"/>
  <c r="S118" i="26"/>
  <c r="T118" i="26"/>
  <c r="U118" i="26"/>
  <c r="V118" i="26"/>
  <c r="W118" i="26"/>
  <c r="X118" i="26"/>
  <c r="Y118" i="26"/>
  <c r="Z118" i="26"/>
  <c r="AA118" i="26"/>
  <c r="AB118" i="26"/>
  <c r="AC118" i="26"/>
  <c r="AD118" i="26"/>
  <c r="AE118" i="26"/>
  <c r="AF118" i="26"/>
  <c r="AG118" i="26"/>
  <c r="AH118" i="26"/>
  <c r="AI118" i="26"/>
  <c r="AJ118" i="26"/>
  <c r="AK118" i="26"/>
  <c r="AL118" i="26"/>
  <c r="AM118" i="26"/>
  <c r="AN118" i="26"/>
  <c r="AO118" i="26"/>
  <c r="AP118" i="26"/>
  <c r="AQ118" i="26"/>
  <c r="AR118" i="26"/>
  <c r="AS118" i="26"/>
  <c r="AT118" i="26"/>
  <c r="AU118" i="26"/>
  <c r="AV118" i="26"/>
  <c r="AW118" i="26"/>
  <c r="AX118" i="26"/>
  <c r="AY118" i="26"/>
  <c r="AZ118" i="26"/>
  <c r="BA118" i="26"/>
  <c r="BB118" i="26"/>
  <c r="BC118" i="26"/>
  <c r="BD118" i="26"/>
  <c r="BE118" i="26"/>
  <c r="BF118" i="26"/>
  <c r="BG118" i="26"/>
  <c r="I119" i="26"/>
  <c r="J119" i="26"/>
  <c r="K119" i="26"/>
  <c r="L119" i="26"/>
  <c r="M119" i="26"/>
  <c r="N119" i="26"/>
  <c r="O119" i="26"/>
  <c r="P119" i="26"/>
  <c r="Q119" i="26"/>
  <c r="R119" i="26"/>
  <c r="S119" i="26"/>
  <c r="T119" i="26"/>
  <c r="U119" i="26"/>
  <c r="V119" i="26"/>
  <c r="W119" i="26"/>
  <c r="X119" i="26"/>
  <c r="Y119" i="26"/>
  <c r="Z119" i="26"/>
  <c r="AA119" i="26"/>
  <c r="AB119" i="26"/>
  <c r="AC119" i="26"/>
  <c r="AD119" i="26"/>
  <c r="AE119" i="26"/>
  <c r="AF119" i="26"/>
  <c r="AG119" i="26"/>
  <c r="AH119" i="26"/>
  <c r="AI119" i="26"/>
  <c r="AJ119" i="26"/>
  <c r="AK119" i="26"/>
  <c r="AL119" i="26"/>
  <c r="AM119" i="26"/>
  <c r="AN119" i="26"/>
  <c r="AO119" i="26"/>
  <c r="AP119" i="26"/>
  <c r="AQ119" i="26"/>
  <c r="AR119" i="26"/>
  <c r="AS119" i="26"/>
  <c r="AT119" i="26"/>
  <c r="AU119" i="26"/>
  <c r="AV119" i="26"/>
  <c r="AW119" i="26"/>
  <c r="AX119" i="26"/>
  <c r="AY119" i="26"/>
  <c r="AZ119" i="26"/>
  <c r="BA119" i="26"/>
  <c r="BB119" i="26"/>
  <c r="BC119" i="26"/>
  <c r="BD119" i="26"/>
  <c r="BE119" i="26"/>
  <c r="BF119" i="26"/>
  <c r="BG119" i="26"/>
  <c r="I120" i="26"/>
  <c r="J120" i="26"/>
  <c r="K120" i="26"/>
  <c r="L120" i="26"/>
  <c r="M120" i="26"/>
  <c r="N120" i="26"/>
  <c r="O120" i="26"/>
  <c r="P120" i="26"/>
  <c r="Q120" i="26"/>
  <c r="R120" i="26"/>
  <c r="S120" i="26"/>
  <c r="T120" i="26"/>
  <c r="U120" i="26"/>
  <c r="V120" i="26"/>
  <c r="W120" i="26"/>
  <c r="X120" i="26"/>
  <c r="Y120" i="26"/>
  <c r="Z120" i="26"/>
  <c r="AA120" i="26"/>
  <c r="AB120" i="26"/>
  <c r="AC120" i="26"/>
  <c r="AD120" i="26"/>
  <c r="AE120" i="26"/>
  <c r="AF120" i="26"/>
  <c r="AG120" i="26"/>
  <c r="AH120" i="26"/>
  <c r="AI120" i="26"/>
  <c r="AJ120" i="26"/>
  <c r="AK120" i="26"/>
  <c r="AL120" i="26"/>
  <c r="AM120" i="26"/>
  <c r="AN120" i="26"/>
  <c r="AO120" i="26"/>
  <c r="AP120" i="26"/>
  <c r="AQ120" i="26"/>
  <c r="AR120" i="26"/>
  <c r="AS120" i="26"/>
  <c r="AT120" i="26"/>
  <c r="AU120" i="26"/>
  <c r="AV120" i="26"/>
  <c r="AW120" i="26"/>
  <c r="AX120" i="26"/>
  <c r="AY120" i="26"/>
  <c r="AZ120" i="26"/>
  <c r="BA120" i="26"/>
  <c r="BB120" i="26"/>
  <c r="BC120" i="26"/>
  <c r="BD120" i="26"/>
  <c r="BE120" i="26"/>
  <c r="BF120" i="26"/>
  <c r="BG120" i="26"/>
  <c r="I121" i="26"/>
  <c r="J121" i="26"/>
  <c r="K121" i="26"/>
  <c r="L121" i="26"/>
  <c r="M121" i="26"/>
  <c r="N121" i="26"/>
  <c r="O121" i="26"/>
  <c r="P121" i="26"/>
  <c r="Q121" i="26"/>
  <c r="R121" i="26"/>
  <c r="S121" i="26"/>
  <c r="T121" i="26"/>
  <c r="U121" i="26"/>
  <c r="V121" i="26"/>
  <c r="W121" i="26"/>
  <c r="X121" i="26"/>
  <c r="Y121" i="26"/>
  <c r="Z121" i="26"/>
  <c r="AA121" i="26"/>
  <c r="AB121" i="26"/>
  <c r="AC121" i="26"/>
  <c r="AD121" i="26"/>
  <c r="AE121" i="26"/>
  <c r="AF121" i="26"/>
  <c r="AG121" i="26"/>
  <c r="AH121" i="26"/>
  <c r="AI121" i="26"/>
  <c r="AJ121" i="26"/>
  <c r="AK121" i="26"/>
  <c r="AL121" i="26"/>
  <c r="AM121" i="26"/>
  <c r="AN121" i="26"/>
  <c r="AO121" i="26"/>
  <c r="AP121" i="26"/>
  <c r="AQ121" i="26"/>
  <c r="AR121" i="26"/>
  <c r="AS121" i="26"/>
  <c r="AT121" i="26"/>
  <c r="AU121" i="26"/>
  <c r="AV121" i="26"/>
  <c r="AW121" i="26"/>
  <c r="AX121" i="26"/>
  <c r="AY121" i="26"/>
  <c r="AZ121" i="26"/>
  <c r="BA121" i="26"/>
  <c r="BB121" i="26"/>
  <c r="BC121" i="26"/>
  <c r="BD121" i="26"/>
  <c r="BE121" i="26"/>
  <c r="BF121" i="26"/>
  <c r="BG121" i="26"/>
  <c r="I122" i="26"/>
  <c r="J122" i="26"/>
  <c r="K122" i="26"/>
  <c r="L122" i="26"/>
  <c r="M122" i="26"/>
  <c r="N122" i="26"/>
  <c r="O122" i="26"/>
  <c r="P122" i="26"/>
  <c r="Q122" i="26"/>
  <c r="R122" i="26"/>
  <c r="S122" i="26"/>
  <c r="T122" i="26"/>
  <c r="U122" i="26"/>
  <c r="V122" i="26"/>
  <c r="W122" i="26"/>
  <c r="X122" i="26"/>
  <c r="Y122" i="26"/>
  <c r="Z122" i="26"/>
  <c r="AA122" i="26"/>
  <c r="AB122" i="26"/>
  <c r="AC122" i="26"/>
  <c r="AD122" i="26"/>
  <c r="AE122" i="26"/>
  <c r="AF122" i="26"/>
  <c r="AG122" i="26"/>
  <c r="AH122" i="26"/>
  <c r="AI122" i="26"/>
  <c r="AJ122" i="26"/>
  <c r="AK122" i="26"/>
  <c r="AL122" i="26"/>
  <c r="AM122" i="26"/>
  <c r="AN122" i="26"/>
  <c r="AO122" i="26"/>
  <c r="AP122" i="26"/>
  <c r="AQ122" i="26"/>
  <c r="AR122" i="26"/>
  <c r="AS122" i="26"/>
  <c r="AT122" i="26"/>
  <c r="AU122" i="26"/>
  <c r="AV122" i="26"/>
  <c r="AW122" i="26"/>
  <c r="AX122" i="26"/>
  <c r="AY122" i="26"/>
  <c r="AZ122" i="26"/>
  <c r="BA122" i="26"/>
  <c r="BB122" i="26"/>
  <c r="BC122" i="26"/>
  <c r="BD122" i="26"/>
  <c r="BE122" i="26"/>
  <c r="BF122" i="26"/>
  <c r="BG122" i="26"/>
  <c r="I123" i="26"/>
  <c r="J123" i="26"/>
  <c r="K123" i="26"/>
  <c r="L123" i="26"/>
  <c r="M123" i="26"/>
  <c r="N123" i="26"/>
  <c r="O123" i="26"/>
  <c r="P123" i="26"/>
  <c r="Q123" i="26"/>
  <c r="R123" i="26"/>
  <c r="S123" i="26"/>
  <c r="T123" i="26"/>
  <c r="U123" i="26"/>
  <c r="V123" i="26"/>
  <c r="W123" i="26"/>
  <c r="X123" i="26"/>
  <c r="Y123" i="26"/>
  <c r="Z123" i="26"/>
  <c r="AA123" i="26"/>
  <c r="AB123" i="26"/>
  <c r="AC123" i="26"/>
  <c r="AD123" i="26"/>
  <c r="AE123" i="26"/>
  <c r="AF123" i="26"/>
  <c r="AG123" i="26"/>
  <c r="AH123" i="26"/>
  <c r="AI123" i="26"/>
  <c r="AJ123" i="26"/>
  <c r="AK123" i="26"/>
  <c r="AL123" i="26"/>
  <c r="AM123" i="26"/>
  <c r="AN123" i="26"/>
  <c r="AO123" i="26"/>
  <c r="AP123" i="26"/>
  <c r="AQ123" i="26"/>
  <c r="AR123" i="26"/>
  <c r="AS123" i="26"/>
  <c r="AT123" i="26"/>
  <c r="AU123" i="26"/>
  <c r="AV123" i="26"/>
  <c r="AW123" i="26"/>
  <c r="AX123" i="26"/>
  <c r="AY123" i="26"/>
  <c r="AZ123" i="26"/>
  <c r="BA123" i="26"/>
  <c r="BB123" i="26"/>
  <c r="BC123" i="26"/>
  <c r="BD123" i="26"/>
  <c r="BE123" i="26"/>
  <c r="BF123" i="26"/>
  <c r="BG123" i="26"/>
  <c r="I124" i="26"/>
  <c r="J124" i="26"/>
  <c r="K124" i="26"/>
  <c r="L124" i="26"/>
  <c r="M124" i="26"/>
  <c r="N124" i="26"/>
  <c r="O124" i="26"/>
  <c r="P124" i="26"/>
  <c r="Q124" i="26"/>
  <c r="R124" i="26"/>
  <c r="S124" i="26"/>
  <c r="T124" i="26"/>
  <c r="U124" i="26"/>
  <c r="V124" i="26"/>
  <c r="W124" i="26"/>
  <c r="X124" i="26"/>
  <c r="Y124" i="26"/>
  <c r="Z124" i="26"/>
  <c r="AA124" i="26"/>
  <c r="AB124" i="26"/>
  <c r="AC124" i="26"/>
  <c r="AD124" i="26"/>
  <c r="AE124" i="26"/>
  <c r="AF124" i="26"/>
  <c r="AG124" i="26"/>
  <c r="AH124" i="26"/>
  <c r="AI124" i="26"/>
  <c r="AJ124" i="26"/>
  <c r="AK124" i="26"/>
  <c r="AL124" i="26"/>
  <c r="AM124" i="26"/>
  <c r="AN124" i="26"/>
  <c r="AO124" i="26"/>
  <c r="AP124" i="26"/>
  <c r="AQ124" i="26"/>
  <c r="AR124" i="26"/>
  <c r="AS124" i="26"/>
  <c r="AT124" i="26"/>
  <c r="AU124" i="26"/>
  <c r="AV124" i="26"/>
  <c r="AW124" i="26"/>
  <c r="AX124" i="26"/>
  <c r="AY124" i="26"/>
  <c r="AZ124" i="26"/>
  <c r="BA124" i="26"/>
  <c r="BB124" i="26"/>
  <c r="BC124" i="26"/>
  <c r="BD124" i="26"/>
  <c r="BE124" i="26"/>
  <c r="BF124" i="26"/>
  <c r="BG124" i="26"/>
  <c r="I125" i="26"/>
  <c r="J125" i="26"/>
  <c r="K125" i="26"/>
  <c r="L125" i="26"/>
  <c r="M125" i="26"/>
  <c r="N125" i="26"/>
  <c r="O125" i="26"/>
  <c r="P125" i="26"/>
  <c r="Q125" i="26"/>
  <c r="R125" i="26"/>
  <c r="S125" i="26"/>
  <c r="T125" i="26"/>
  <c r="U125" i="26"/>
  <c r="V125" i="26"/>
  <c r="W125" i="26"/>
  <c r="X125" i="26"/>
  <c r="Y125" i="26"/>
  <c r="Z125" i="26"/>
  <c r="AA125" i="26"/>
  <c r="AB125" i="26"/>
  <c r="AC125" i="26"/>
  <c r="AD125" i="26"/>
  <c r="AE125" i="26"/>
  <c r="AF125" i="26"/>
  <c r="AG125" i="26"/>
  <c r="AH125" i="26"/>
  <c r="AI125" i="26"/>
  <c r="AJ125" i="26"/>
  <c r="AK125" i="26"/>
  <c r="AL125" i="26"/>
  <c r="AM125" i="26"/>
  <c r="AN125" i="26"/>
  <c r="AO125" i="26"/>
  <c r="AP125" i="26"/>
  <c r="AQ125" i="26"/>
  <c r="AR125" i="26"/>
  <c r="AS125" i="26"/>
  <c r="AT125" i="26"/>
  <c r="AU125" i="26"/>
  <c r="AV125" i="26"/>
  <c r="AW125" i="26"/>
  <c r="AX125" i="26"/>
  <c r="AY125" i="26"/>
  <c r="AZ125" i="26"/>
  <c r="BA125" i="26"/>
  <c r="BB125" i="26"/>
  <c r="BC125" i="26"/>
  <c r="BD125" i="26"/>
  <c r="BE125" i="26"/>
  <c r="BF125" i="26"/>
  <c r="BG125" i="26"/>
  <c r="I126" i="26"/>
  <c r="J126" i="26"/>
  <c r="K126" i="26"/>
  <c r="L126" i="26"/>
  <c r="M126" i="26"/>
  <c r="N126" i="26"/>
  <c r="O126" i="26"/>
  <c r="P126" i="26"/>
  <c r="Q126" i="26"/>
  <c r="R126" i="26"/>
  <c r="S126" i="26"/>
  <c r="T126" i="26"/>
  <c r="U126" i="26"/>
  <c r="V126" i="26"/>
  <c r="W126" i="26"/>
  <c r="X126" i="26"/>
  <c r="Y126" i="26"/>
  <c r="Z126" i="26"/>
  <c r="AA126" i="26"/>
  <c r="AB126" i="26"/>
  <c r="AC126" i="26"/>
  <c r="AD126" i="26"/>
  <c r="AE126" i="26"/>
  <c r="AF126" i="26"/>
  <c r="AG126" i="26"/>
  <c r="AH126" i="26"/>
  <c r="AI126" i="26"/>
  <c r="AJ126" i="26"/>
  <c r="AK126" i="26"/>
  <c r="AL126" i="26"/>
  <c r="AM126" i="26"/>
  <c r="AN126" i="26"/>
  <c r="AO126" i="26"/>
  <c r="AP126" i="26"/>
  <c r="AQ126" i="26"/>
  <c r="AR126" i="26"/>
  <c r="AS126" i="26"/>
  <c r="AT126" i="26"/>
  <c r="AU126" i="26"/>
  <c r="AV126" i="26"/>
  <c r="AW126" i="26"/>
  <c r="AX126" i="26"/>
  <c r="AY126" i="26"/>
  <c r="AZ126" i="26"/>
  <c r="BA126" i="26"/>
  <c r="BB126" i="26"/>
  <c r="BC126" i="26"/>
  <c r="BD126" i="26"/>
  <c r="BE126" i="26"/>
  <c r="BF126" i="26"/>
  <c r="BG126" i="26"/>
  <c r="I127" i="26"/>
  <c r="J127" i="26"/>
  <c r="K127" i="26"/>
  <c r="L127" i="26"/>
  <c r="M127" i="26"/>
  <c r="N127" i="26"/>
  <c r="O127" i="26"/>
  <c r="P127" i="26"/>
  <c r="Q127" i="26"/>
  <c r="R127" i="26"/>
  <c r="S127" i="26"/>
  <c r="T127" i="26"/>
  <c r="U127" i="26"/>
  <c r="V127" i="26"/>
  <c r="W127" i="26"/>
  <c r="X127" i="26"/>
  <c r="Y127" i="26"/>
  <c r="Z127" i="26"/>
  <c r="AA127" i="26"/>
  <c r="AB127" i="26"/>
  <c r="AC127" i="26"/>
  <c r="AD127" i="26"/>
  <c r="AE127" i="26"/>
  <c r="AF127" i="26"/>
  <c r="AG127" i="26"/>
  <c r="AH127" i="26"/>
  <c r="AI127" i="26"/>
  <c r="AJ127" i="26"/>
  <c r="AK127" i="26"/>
  <c r="AL127" i="26"/>
  <c r="AM127" i="26"/>
  <c r="AN127" i="26"/>
  <c r="AO127" i="26"/>
  <c r="AP127" i="26"/>
  <c r="AQ127" i="26"/>
  <c r="AR127" i="26"/>
  <c r="AS127" i="26"/>
  <c r="AT127" i="26"/>
  <c r="AU127" i="26"/>
  <c r="AV127" i="26"/>
  <c r="AW127" i="26"/>
  <c r="AX127" i="26"/>
  <c r="AY127" i="26"/>
  <c r="AZ127" i="26"/>
  <c r="BA127" i="26"/>
  <c r="BB127" i="26"/>
  <c r="BC127" i="26"/>
  <c r="BD127" i="26"/>
  <c r="BE127" i="26"/>
  <c r="BF127" i="26"/>
  <c r="BG127" i="26"/>
  <c r="I128" i="26"/>
  <c r="J128" i="26"/>
  <c r="K128" i="26"/>
  <c r="L128" i="26"/>
  <c r="M128" i="26"/>
  <c r="N128" i="26"/>
  <c r="O128" i="26"/>
  <c r="P128" i="26"/>
  <c r="Q128" i="26"/>
  <c r="R128" i="26"/>
  <c r="S128" i="26"/>
  <c r="T128" i="26"/>
  <c r="U128" i="26"/>
  <c r="V128" i="26"/>
  <c r="W128" i="26"/>
  <c r="X128" i="26"/>
  <c r="Y128" i="26"/>
  <c r="Z128" i="26"/>
  <c r="AA128" i="26"/>
  <c r="AB128" i="26"/>
  <c r="AC128" i="26"/>
  <c r="AD128" i="26"/>
  <c r="AE128" i="26"/>
  <c r="AF128" i="26"/>
  <c r="AG128" i="26"/>
  <c r="AH128" i="26"/>
  <c r="AI128" i="26"/>
  <c r="AJ128" i="26"/>
  <c r="AK128" i="26"/>
  <c r="AL128" i="26"/>
  <c r="AM128" i="26"/>
  <c r="AN128" i="26"/>
  <c r="AO128" i="26"/>
  <c r="AP128" i="26"/>
  <c r="AQ128" i="26"/>
  <c r="AR128" i="26"/>
  <c r="AS128" i="26"/>
  <c r="AT128" i="26"/>
  <c r="AU128" i="26"/>
  <c r="AV128" i="26"/>
  <c r="AW128" i="26"/>
  <c r="AX128" i="26"/>
  <c r="AY128" i="26"/>
  <c r="AZ128" i="26"/>
  <c r="BA128" i="26"/>
  <c r="BB128" i="26"/>
  <c r="BC128" i="26"/>
  <c r="BD128" i="26"/>
  <c r="BE128" i="26"/>
  <c r="BF128" i="26"/>
  <c r="BG128" i="26"/>
  <c r="I129" i="26"/>
  <c r="J129" i="26"/>
  <c r="K129" i="26"/>
  <c r="L129" i="26"/>
  <c r="M129" i="26"/>
  <c r="N129" i="26"/>
  <c r="O129" i="26"/>
  <c r="P129" i="26"/>
  <c r="Q129" i="26"/>
  <c r="R129" i="26"/>
  <c r="S129" i="26"/>
  <c r="T129" i="26"/>
  <c r="U129" i="26"/>
  <c r="V129" i="26"/>
  <c r="W129" i="26"/>
  <c r="X129" i="26"/>
  <c r="Y129" i="26"/>
  <c r="Z129" i="26"/>
  <c r="AA129" i="26"/>
  <c r="AB129" i="26"/>
  <c r="AC129" i="26"/>
  <c r="AD129" i="26"/>
  <c r="AE129" i="26"/>
  <c r="AF129" i="26"/>
  <c r="AG129" i="26"/>
  <c r="AH129" i="26"/>
  <c r="AI129" i="26"/>
  <c r="AJ129" i="26"/>
  <c r="AK129" i="26"/>
  <c r="AL129" i="26"/>
  <c r="AM129" i="26"/>
  <c r="AN129" i="26"/>
  <c r="AO129" i="26"/>
  <c r="AP129" i="26"/>
  <c r="AQ129" i="26"/>
  <c r="AR129" i="26"/>
  <c r="AS129" i="26"/>
  <c r="AT129" i="26"/>
  <c r="AU129" i="26"/>
  <c r="AV129" i="26"/>
  <c r="AW129" i="26"/>
  <c r="AX129" i="26"/>
  <c r="AY129" i="26"/>
  <c r="AZ129" i="26"/>
  <c r="BA129" i="26"/>
  <c r="BB129" i="26"/>
  <c r="BC129" i="26"/>
  <c r="BD129" i="26"/>
  <c r="BE129" i="26"/>
  <c r="BF129" i="26"/>
  <c r="BG129" i="26"/>
  <c r="I130" i="26"/>
  <c r="J130" i="26"/>
  <c r="K130" i="26"/>
  <c r="L130" i="26"/>
  <c r="M130" i="26"/>
  <c r="N130" i="26"/>
  <c r="O130" i="26"/>
  <c r="P130" i="26"/>
  <c r="Q130" i="26"/>
  <c r="R130" i="26"/>
  <c r="S130" i="26"/>
  <c r="T130" i="26"/>
  <c r="U130" i="26"/>
  <c r="V130" i="26"/>
  <c r="W130" i="26"/>
  <c r="X130" i="26"/>
  <c r="Y130" i="26"/>
  <c r="Z130" i="26"/>
  <c r="AA130" i="26"/>
  <c r="AB130" i="26"/>
  <c r="AC130" i="26"/>
  <c r="AD130" i="26"/>
  <c r="AE130" i="26"/>
  <c r="AF130" i="26"/>
  <c r="AG130" i="26"/>
  <c r="AH130" i="26"/>
  <c r="AI130" i="26"/>
  <c r="AJ130" i="26"/>
  <c r="AK130" i="26"/>
  <c r="AL130" i="26"/>
  <c r="AM130" i="26"/>
  <c r="AN130" i="26"/>
  <c r="AO130" i="26"/>
  <c r="AP130" i="26"/>
  <c r="AQ130" i="26"/>
  <c r="AR130" i="26"/>
  <c r="AS130" i="26"/>
  <c r="AT130" i="26"/>
  <c r="AU130" i="26"/>
  <c r="AV130" i="26"/>
  <c r="AW130" i="26"/>
  <c r="AX130" i="26"/>
  <c r="AY130" i="26"/>
  <c r="AZ130" i="26"/>
  <c r="BA130" i="26"/>
  <c r="BB130" i="26"/>
  <c r="BC130" i="26"/>
  <c r="BD130" i="26"/>
  <c r="BE130" i="26"/>
  <c r="BF130" i="26"/>
  <c r="BG130" i="26"/>
  <c r="I131" i="26"/>
  <c r="J131" i="26"/>
  <c r="K131" i="26"/>
  <c r="L131" i="26"/>
  <c r="M131" i="26"/>
  <c r="N131" i="26"/>
  <c r="O131" i="26"/>
  <c r="P131" i="26"/>
  <c r="Q131" i="26"/>
  <c r="R131" i="26"/>
  <c r="S131" i="26"/>
  <c r="T131" i="26"/>
  <c r="U131" i="26"/>
  <c r="V131" i="26"/>
  <c r="W131" i="26"/>
  <c r="X131" i="26"/>
  <c r="Y131" i="26"/>
  <c r="Z131" i="26"/>
  <c r="AA131" i="26"/>
  <c r="AB131" i="26"/>
  <c r="AC131" i="26"/>
  <c r="AD131" i="26"/>
  <c r="AE131" i="26"/>
  <c r="AF131" i="26"/>
  <c r="AG131" i="26"/>
  <c r="AH131" i="26"/>
  <c r="AI131" i="26"/>
  <c r="AJ131" i="26"/>
  <c r="AK131" i="26"/>
  <c r="AL131" i="26"/>
  <c r="AM131" i="26"/>
  <c r="AN131" i="26"/>
  <c r="AO131" i="26"/>
  <c r="AP131" i="26"/>
  <c r="AQ131" i="26"/>
  <c r="AR131" i="26"/>
  <c r="AS131" i="26"/>
  <c r="AT131" i="26"/>
  <c r="AU131" i="26"/>
  <c r="AV131" i="26"/>
  <c r="AW131" i="26"/>
  <c r="AX131" i="26"/>
  <c r="AY131" i="26"/>
  <c r="AZ131" i="26"/>
  <c r="BA131" i="26"/>
  <c r="BB131" i="26"/>
  <c r="BC131" i="26"/>
  <c r="BD131" i="26"/>
  <c r="BE131" i="26"/>
  <c r="BF131" i="26"/>
  <c r="BG131" i="26"/>
  <c r="I132" i="26"/>
  <c r="J132" i="26"/>
  <c r="K132" i="26"/>
  <c r="L132" i="26"/>
  <c r="M132" i="26"/>
  <c r="N132" i="26"/>
  <c r="O132" i="26"/>
  <c r="P132" i="26"/>
  <c r="Q132" i="26"/>
  <c r="R132" i="26"/>
  <c r="S132" i="26"/>
  <c r="T132" i="26"/>
  <c r="U132" i="26"/>
  <c r="V132" i="26"/>
  <c r="W132" i="26"/>
  <c r="X132" i="26"/>
  <c r="Y132" i="26"/>
  <c r="Z132" i="26"/>
  <c r="AA132" i="26"/>
  <c r="AB132" i="26"/>
  <c r="AC132" i="26"/>
  <c r="AD132" i="26"/>
  <c r="AE132" i="26"/>
  <c r="AF132" i="26"/>
  <c r="AG132" i="26"/>
  <c r="AH132" i="26"/>
  <c r="AI132" i="26"/>
  <c r="AJ132" i="26"/>
  <c r="AK132" i="26"/>
  <c r="AL132" i="26"/>
  <c r="AM132" i="26"/>
  <c r="AN132" i="26"/>
  <c r="AO132" i="26"/>
  <c r="AP132" i="26"/>
  <c r="AQ132" i="26"/>
  <c r="AR132" i="26"/>
  <c r="AS132" i="26"/>
  <c r="AT132" i="26"/>
  <c r="AU132" i="26"/>
  <c r="AV132" i="26"/>
  <c r="AW132" i="26"/>
  <c r="AX132" i="26"/>
  <c r="AY132" i="26"/>
  <c r="AZ132" i="26"/>
  <c r="BA132" i="26"/>
  <c r="BB132" i="26"/>
  <c r="BC132" i="26"/>
  <c r="BD132" i="26"/>
  <c r="BE132" i="26"/>
  <c r="BF132" i="26"/>
  <c r="BG132" i="26"/>
  <c r="I133" i="26"/>
  <c r="J133" i="26"/>
  <c r="K133" i="26"/>
  <c r="L133" i="26"/>
  <c r="M133" i="26"/>
  <c r="N133" i="26"/>
  <c r="O133" i="26"/>
  <c r="P133" i="26"/>
  <c r="Q133" i="26"/>
  <c r="R133" i="26"/>
  <c r="S133" i="26"/>
  <c r="T133" i="26"/>
  <c r="U133" i="26"/>
  <c r="V133" i="26"/>
  <c r="W133" i="26"/>
  <c r="X133" i="26"/>
  <c r="Y133" i="26"/>
  <c r="Z133" i="26"/>
  <c r="AA133" i="26"/>
  <c r="AB133" i="26"/>
  <c r="AC133" i="26"/>
  <c r="AD133" i="26"/>
  <c r="AE133" i="26"/>
  <c r="AF133" i="26"/>
  <c r="AG133" i="26"/>
  <c r="AH133" i="26"/>
  <c r="AI133" i="26"/>
  <c r="AJ133" i="26"/>
  <c r="AK133" i="26"/>
  <c r="AL133" i="26"/>
  <c r="AM133" i="26"/>
  <c r="AN133" i="26"/>
  <c r="AO133" i="26"/>
  <c r="AP133" i="26"/>
  <c r="AQ133" i="26"/>
  <c r="AR133" i="26"/>
  <c r="AS133" i="26"/>
  <c r="AT133" i="26"/>
  <c r="AU133" i="26"/>
  <c r="AV133" i="26"/>
  <c r="AW133" i="26"/>
  <c r="AX133" i="26"/>
  <c r="AY133" i="26"/>
  <c r="AZ133" i="26"/>
  <c r="BA133" i="26"/>
  <c r="BB133" i="26"/>
  <c r="BC133" i="26"/>
  <c r="BD133" i="26"/>
  <c r="BE133" i="26"/>
  <c r="BF133" i="26"/>
  <c r="BG133" i="26"/>
  <c r="I134" i="26"/>
  <c r="J134" i="26"/>
  <c r="K134" i="26"/>
  <c r="L134" i="26"/>
  <c r="M134" i="26"/>
  <c r="N134" i="26"/>
  <c r="O134" i="26"/>
  <c r="P134" i="26"/>
  <c r="Q134" i="26"/>
  <c r="R134" i="26"/>
  <c r="S134" i="26"/>
  <c r="T134" i="26"/>
  <c r="U134" i="26"/>
  <c r="V134" i="26"/>
  <c r="W134" i="26"/>
  <c r="X134" i="26"/>
  <c r="Y134" i="26"/>
  <c r="Z134" i="26"/>
  <c r="AA134" i="26"/>
  <c r="AB134" i="26"/>
  <c r="AC134" i="26"/>
  <c r="AD134" i="26"/>
  <c r="AE134" i="26"/>
  <c r="AF134" i="26"/>
  <c r="AG134" i="26"/>
  <c r="AH134" i="26"/>
  <c r="AI134" i="26"/>
  <c r="AJ134" i="26"/>
  <c r="AK134" i="26"/>
  <c r="AL134" i="26"/>
  <c r="AM134" i="26"/>
  <c r="AN134" i="26"/>
  <c r="AO134" i="26"/>
  <c r="AP134" i="26"/>
  <c r="AQ134" i="26"/>
  <c r="AR134" i="26"/>
  <c r="AS134" i="26"/>
  <c r="AT134" i="26"/>
  <c r="AU134" i="26"/>
  <c r="AV134" i="26"/>
  <c r="AW134" i="26"/>
  <c r="AX134" i="26"/>
  <c r="AY134" i="26"/>
  <c r="AZ134" i="26"/>
  <c r="BA134" i="26"/>
  <c r="BB134" i="26"/>
  <c r="BC134" i="26"/>
  <c r="BD134" i="26"/>
  <c r="BE134" i="26"/>
  <c r="BF134" i="26"/>
  <c r="BG134" i="26"/>
  <c r="I135" i="26"/>
  <c r="J135" i="26"/>
  <c r="K135" i="26"/>
  <c r="L135" i="26"/>
  <c r="M135" i="26"/>
  <c r="N135" i="26"/>
  <c r="O135" i="26"/>
  <c r="P135" i="26"/>
  <c r="Q135" i="26"/>
  <c r="R135" i="26"/>
  <c r="S135" i="26"/>
  <c r="T135" i="26"/>
  <c r="U135" i="26"/>
  <c r="V135" i="26"/>
  <c r="W135" i="26"/>
  <c r="X135" i="26"/>
  <c r="Y135" i="26"/>
  <c r="Z135" i="26"/>
  <c r="AA135" i="26"/>
  <c r="AB135" i="26"/>
  <c r="AC135" i="26"/>
  <c r="AD135" i="26"/>
  <c r="AE135" i="26"/>
  <c r="AF135" i="26"/>
  <c r="AG135" i="26"/>
  <c r="AH135" i="26"/>
  <c r="AI135" i="26"/>
  <c r="AJ135" i="26"/>
  <c r="AK135" i="26"/>
  <c r="AL135" i="26"/>
  <c r="AM135" i="26"/>
  <c r="AN135" i="26"/>
  <c r="AO135" i="26"/>
  <c r="AP135" i="26"/>
  <c r="AQ135" i="26"/>
  <c r="AR135" i="26"/>
  <c r="AS135" i="26"/>
  <c r="AT135" i="26"/>
  <c r="AU135" i="26"/>
  <c r="AV135" i="26"/>
  <c r="AW135" i="26"/>
  <c r="AX135" i="26"/>
  <c r="AY135" i="26"/>
  <c r="AZ135" i="26"/>
  <c r="BA135" i="26"/>
  <c r="BB135" i="26"/>
  <c r="BC135" i="26"/>
  <c r="BD135" i="26"/>
  <c r="BE135" i="26"/>
  <c r="BF135" i="26"/>
  <c r="BG135" i="26"/>
  <c r="I136" i="26"/>
  <c r="J136" i="26"/>
  <c r="K136" i="26"/>
  <c r="L136" i="26"/>
  <c r="M136" i="26"/>
  <c r="N136" i="26"/>
  <c r="O136" i="26"/>
  <c r="P136" i="26"/>
  <c r="Q136" i="26"/>
  <c r="R136" i="26"/>
  <c r="S136" i="26"/>
  <c r="T136" i="26"/>
  <c r="U136" i="26"/>
  <c r="V136" i="26"/>
  <c r="W136" i="26"/>
  <c r="X136" i="26"/>
  <c r="Y136" i="26"/>
  <c r="Z136" i="26"/>
  <c r="AA136" i="26"/>
  <c r="AB136" i="26"/>
  <c r="AC136" i="26"/>
  <c r="AD136" i="26"/>
  <c r="AE136" i="26"/>
  <c r="AF136" i="26"/>
  <c r="AG136" i="26"/>
  <c r="AH136" i="26"/>
  <c r="AI136" i="26"/>
  <c r="AJ136" i="26"/>
  <c r="AK136" i="26"/>
  <c r="AL136" i="26"/>
  <c r="AM136" i="26"/>
  <c r="AN136" i="26"/>
  <c r="AO136" i="26"/>
  <c r="AP136" i="26"/>
  <c r="AQ136" i="26"/>
  <c r="AR136" i="26"/>
  <c r="AS136" i="26"/>
  <c r="AT136" i="26"/>
  <c r="AU136" i="26"/>
  <c r="AV136" i="26"/>
  <c r="AW136" i="26"/>
  <c r="AX136" i="26"/>
  <c r="AY136" i="26"/>
  <c r="AZ136" i="26"/>
  <c r="BA136" i="26"/>
  <c r="BB136" i="26"/>
  <c r="BC136" i="26"/>
  <c r="BD136" i="26"/>
  <c r="BE136" i="26"/>
  <c r="BF136" i="26"/>
  <c r="BG136" i="26"/>
  <c r="I137" i="26"/>
  <c r="J137" i="26"/>
  <c r="K137" i="26"/>
  <c r="L137" i="26"/>
  <c r="M137" i="26"/>
  <c r="N137" i="26"/>
  <c r="O137" i="26"/>
  <c r="P137" i="26"/>
  <c r="Q137" i="26"/>
  <c r="R137" i="26"/>
  <c r="S137" i="26"/>
  <c r="T137" i="26"/>
  <c r="U137" i="26"/>
  <c r="V137" i="26"/>
  <c r="W137" i="26"/>
  <c r="X137" i="26"/>
  <c r="Y137" i="26"/>
  <c r="Z137" i="26"/>
  <c r="AA137" i="26"/>
  <c r="AB137" i="26"/>
  <c r="AC137" i="26"/>
  <c r="AD137" i="26"/>
  <c r="AE137" i="26"/>
  <c r="AF137" i="26"/>
  <c r="AG137" i="26"/>
  <c r="AH137" i="26"/>
  <c r="AI137" i="26"/>
  <c r="AJ137" i="26"/>
  <c r="AK137" i="26"/>
  <c r="AL137" i="26"/>
  <c r="AM137" i="26"/>
  <c r="AN137" i="26"/>
  <c r="AO137" i="26"/>
  <c r="AP137" i="26"/>
  <c r="AQ137" i="26"/>
  <c r="AR137" i="26"/>
  <c r="AS137" i="26"/>
  <c r="AT137" i="26"/>
  <c r="AU137" i="26"/>
  <c r="AV137" i="26"/>
  <c r="AW137" i="26"/>
  <c r="AX137" i="26"/>
  <c r="AY137" i="26"/>
  <c r="AZ137" i="26"/>
  <c r="BA137" i="26"/>
  <c r="BB137" i="26"/>
  <c r="BC137" i="26"/>
  <c r="BD137" i="26"/>
  <c r="BE137" i="26"/>
  <c r="BF137" i="26"/>
  <c r="BG137" i="26"/>
  <c r="I138" i="26"/>
  <c r="J138" i="26"/>
  <c r="K138" i="26"/>
  <c r="L138" i="26"/>
  <c r="M138" i="26"/>
  <c r="N138" i="26"/>
  <c r="O138" i="26"/>
  <c r="P138" i="26"/>
  <c r="Q138" i="26"/>
  <c r="R138" i="26"/>
  <c r="S138" i="26"/>
  <c r="T138" i="26"/>
  <c r="U138" i="26"/>
  <c r="V138" i="26"/>
  <c r="W138" i="26"/>
  <c r="X138" i="26"/>
  <c r="Y138" i="26"/>
  <c r="Z138" i="26"/>
  <c r="AA138" i="26"/>
  <c r="AB138" i="26"/>
  <c r="AC138" i="26"/>
  <c r="AD138" i="26"/>
  <c r="AE138" i="26"/>
  <c r="AF138" i="26"/>
  <c r="AG138" i="26"/>
  <c r="AH138" i="26"/>
  <c r="AI138" i="26"/>
  <c r="AJ138" i="26"/>
  <c r="AK138" i="26"/>
  <c r="AL138" i="26"/>
  <c r="AM138" i="26"/>
  <c r="AN138" i="26"/>
  <c r="AO138" i="26"/>
  <c r="AP138" i="26"/>
  <c r="AQ138" i="26"/>
  <c r="AR138" i="26"/>
  <c r="AS138" i="26"/>
  <c r="AT138" i="26"/>
  <c r="AU138" i="26"/>
  <c r="AV138" i="26"/>
  <c r="AW138" i="26"/>
  <c r="AX138" i="26"/>
  <c r="AY138" i="26"/>
  <c r="AZ138" i="26"/>
  <c r="BA138" i="26"/>
  <c r="BB138" i="26"/>
  <c r="BC138" i="26"/>
  <c r="BD138" i="26"/>
  <c r="BE138" i="26"/>
  <c r="BF138" i="26"/>
  <c r="BG138" i="26"/>
  <c r="I139" i="26"/>
  <c r="J139" i="26"/>
  <c r="K139" i="26"/>
  <c r="L139" i="26"/>
  <c r="M139" i="26"/>
  <c r="N139" i="26"/>
  <c r="O139" i="26"/>
  <c r="P139" i="26"/>
  <c r="Q139" i="26"/>
  <c r="R139" i="26"/>
  <c r="S139" i="26"/>
  <c r="T139" i="26"/>
  <c r="U139" i="26"/>
  <c r="V139" i="26"/>
  <c r="W139" i="26"/>
  <c r="X139" i="26"/>
  <c r="Y139" i="26"/>
  <c r="Z139" i="26"/>
  <c r="AA139" i="26"/>
  <c r="AB139" i="26"/>
  <c r="AC139" i="26"/>
  <c r="AD139" i="26"/>
  <c r="AE139" i="26"/>
  <c r="AF139" i="26"/>
  <c r="AG139" i="26"/>
  <c r="AH139" i="26"/>
  <c r="AI139" i="26"/>
  <c r="AJ139" i="26"/>
  <c r="AK139" i="26"/>
  <c r="AL139" i="26"/>
  <c r="AM139" i="26"/>
  <c r="AN139" i="26"/>
  <c r="AO139" i="26"/>
  <c r="AP139" i="26"/>
  <c r="AQ139" i="26"/>
  <c r="AR139" i="26"/>
  <c r="AS139" i="26"/>
  <c r="AT139" i="26"/>
  <c r="AU139" i="26"/>
  <c r="AV139" i="26"/>
  <c r="AW139" i="26"/>
  <c r="AX139" i="26"/>
  <c r="AY139" i="26"/>
  <c r="AZ139" i="26"/>
  <c r="BA139" i="26"/>
  <c r="BB139" i="26"/>
  <c r="BC139" i="26"/>
  <c r="BD139" i="26"/>
  <c r="BE139" i="26"/>
  <c r="BF139" i="26"/>
  <c r="BG139" i="26"/>
  <c r="I140" i="26"/>
  <c r="J140" i="26"/>
  <c r="K140" i="26"/>
  <c r="L140" i="26"/>
  <c r="M140" i="26"/>
  <c r="N140" i="26"/>
  <c r="O140" i="26"/>
  <c r="P140" i="26"/>
  <c r="Q140" i="26"/>
  <c r="R140" i="26"/>
  <c r="S140" i="26"/>
  <c r="T140" i="26"/>
  <c r="U140" i="26"/>
  <c r="V140" i="26"/>
  <c r="W140" i="26"/>
  <c r="X140" i="26"/>
  <c r="Y140" i="26"/>
  <c r="Z140" i="26"/>
  <c r="AA140" i="26"/>
  <c r="AB140" i="26"/>
  <c r="AC140" i="26"/>
  <c r="AD140" i="26"/>
  <c r="AE140" i="26"/>
  <c r="AF140" i="26"/>
  <c r="AG140" i="26"/>
  <c r="AH140" i="26"/>
  <c r="AI140" i="26"/>
  <c r="AJ140" i="26"/>
  <c r="AK140" i="26"/>
  <c r="AL140" i="26"/>
  <c r="AM140" i="26"/>
  <c r="AN140" i="26"/>
  <c r="AO140" i="26"/>
  <c r="AP140" i="26"/>
  <c r="AQ140" i="26"/>
  <c r="AR140" i="26"/>
  <c r="AS140" i="26"/>
  <c r="AT140" i="26"/>
  <c r="AU140" i="26"/>
  <c r="AV140" i="26"/>
  <c r="AW140" i="26"/>
  <c r="AX140" i="26"/>
  <c r="AY140" i="26"/>
  <c r="AZ140" i="26"/>
  <c r="BA140" i="26"/>
  <c r="BB140" i="26"/>
  <c r="BC140" i="26"/>
  <c r="BD140" i="26"/>
  <c r="BE140" i="26"/>
  <c r="BF140" i="26"/>
  <c r="BG140" i="26"/>
  <c r="I141" i="26"/>
  <c r="J141" i="26"/>
  <c r="K141" i="26"/>
  <c r="L141" i="26"/>
  <c r="M141" i="26"/>
  <c r="N141" i="26"/>
  <c r="O141" i="26"/>
  <c r="P141" i="26"/>
  <c r="Q141" i="26"/>
  <c r="R141" i="26"/>
  <c r="S141" i="26"/>
  <c r="T141" i="26"/>
  <c r="U141" i="26"/>
  <c r="V141" i="26"/>
  <c r="W141" i="26"/>
  <c r="X141" i="26"/>
  <c r="Y141" i="26"/>
  <c r="Z141" i="26"/>
  <c r="AA141" i="26"/>
  <c r="AB141" i="26"/>
  <c r="AC141" i="26"/>
  <c r="AD141" i="26"/>
  <c r="AE141" i="26"/>
  <c r="AF141" i="26"/>
  <c r="AG141" i="26"/>
  <c r="AH141" i="26"/>
  <c r="AI141" i="26"/>
  <c r="AJ141" i="26"/>
  <c r="AK141" i="26"/>
  <c r="AL141" i="26"/>
  <c r="AM141" i="26"/>
  <c r="AN141" i="26"/>
  <c r="AO141" i="26"/>
  <c r="AP141" i="26"/>
  <c r="AQ141" i="26"/>
  <c r="AR141" i="26"/>
  <c r="AS141" i="26"/>
  <c r="AT141" i="26"/>
  <c r="AU141" i="26"/>
  <c r="AV141" i="26"/>
  <c r="AW141" i="26"/>
  <c r="AX141" i="26"/>
  <c r="AY141" i="26"/>
  <c r="AZ141" i="26"/>
  <c r="BA141" i="26"/>
  <c r="BB141" i="26"/>
  <c r="BC141" i="26"/>
  <c r="BD141" i="26"/>
  <c r="BE141" i="26"/>
  <c r="BF141" i="26"/>
  <c r="BG141" i="26"/>
  <c r="I142" i="26"/>
  <c r="J142" i="26"/>
  <c r="K142" i="26"/>
  <c r="L142" i="26"/>
  <c r="M142" i="26"/>
  <c r="N142" i="26"/>
  <c r="O142" i="26"/>
  <c r="P142" i="26"/>
  <c r="Q142" i="26"/>
  <c r="R142" i="26"/>
  <c r="S142" i="26"/>
  <c r="T142" i="26"/>
  <c r="U142" i="26"/>
  <c r="V142" i="26"/>
  <c r="W142" i="26"/>
  <c r="X142" i="26"/>
  <c r="Y142" i="26"/>
  <c r="Z142" i="26"/>
  <c r="AA142" i="26"/>
  <c r="AB142" i="26"/>
  <c r="AC142" i="26"/>
  <c r="AD142" i="26"/>
  <c r="AE142" i="26"/>
  <c r="AF142" i="26"/>
  <c r="AG142" i="26"/>
  <c r="AH142" i="26"/>
  <c r="AI142" i="26"/>
  <c r="AJ142" i="26"/>
  <c r="AK142" i="26"/>
  <c r="AL142" i="26"/>
  <c r="AM142" i="26"/>
  <c r="AN142" i="26"/>
  <c r="AO142" i="26"/>
  <c r="AP142" i="26"/>
  <c r="AQ142" i="26"/>
  <c r="AR142" i="26"/>
  <c r="AS142" i="26"/>
  <c r="AT142" i="26"/>
  <c r="AU142" i="26"/>
  <c r="AV142" i="26"/>
  <c r="AW142" i="26"/>
  <c r="AX142" i="26"/>
  <c r="AY142" i="26"/>
  <c r="AZ142" i="26"/>
  <c r="BA142" i="26"/>
  <c r="BB142" i="26"/>
  <c r="BC142" i="26"/>
  <c r="BD142" i="26"/>
  <c r="BE142" i="26"/>
  <c r="BF142" i="26"/>
  <c r="BG142" i="26"/>
  <c r="I143" i="26"/>
  <c r="J143" i="26"/>
  <c r="K143" i="26"/>
  <c r="L143" i="26"/>
  <c r="M143" i="26"/>
  <c r="N143" i="26"/>
  <c r="O143" i="26"/>
  <c r="P143" i="26"/>
  <c r="Q143" i="26"/>
  <c r="R143" i="26"/>
  <c r="S143" i="26"/>
  <c r="T143" i="26"/>
  <c r="U143" i="26"/>
  <c r="V143" i="26"/>
  <c r="W143" i="26"/>
  <c r="X143" i="26"/>
  <c r="Y143" i="26"/>
  <c r="Z143" i="26"/>
  <c r="AA143" i="26"/>
  <c r="AB143" i="26"/>
  <c r="AC143" i="26"/>
  <c r="AD143" i="26"/>
  <c r="AE143" i="26"/>
  <c r="AF143" i="26"/>
  <c r="AG143" i="26"/>
  <c r="AH143" i="26"/>
  <c r="AI143" i="26"/>
  <c r="AJ143" i="26"/>
  <c r="AK143" i="26"/>
  <c r="AL143" i="26"/>
  <c r="AM143" i="26"/>
  <c r="AN143" i="26"/>
  <c r="AO143" i="26"/>
  <c r="AP143" i="26"/>
  <c r="AQ143" i="26"/>
  <c r="AR143" i="26"/>
  <c r="AS143" i="26"/>
  <c r="AT143" i="26"/>
  <c r="AU143" i="26"/>
  <c r="AV143" i="26"/>
  <c r="AW143" i="26"/>
  <c r="AX143" i="26"/>
  <c r="AY143" i="26"/>
  <c r="AZ143" i="26"/>
  <c r="BA143" i="26"/>
  <c r="BB143" i="26"/>
  <c r="BC143" i="26"/>
  <c r="BD143" i="26"/>
  <c r="BE143" i="26"/>
  <c r="BF143" i="26"/>
  <c r="BG143" i="26"/>
  <c r="I144" i="26"/>
  <c r="J144" i="26"/>
  <c r="K144" i="26"/>
  <c r="L144" i="26"/>
  <c r="M144" i="26"/>
  <c r="N144" i="26"/>
  <c r="O144" i="26"/>
  <c r="P144" i="26"/>
  <c r="Q144" i="26"/>
  <c r="R144" i="26"/>
  <c r="S144" i="26"/>
  <c r="T144" i="26"/>
  <c r="U144" i="26"/>
  <c r="V144" i="26"/>
  <c r="W144" i="26"/>
  <c r="X144" i="26"/>
  <c r="Y144" i="26"/>
  <c r="Z144" i="26"/>
  <c r="AA144" i="26"/>
  <c r="AB144" i="26"/>
  <c r="AC144" i="26"/>
  <c r="AD144" i="26"/>
  <c r="AE144" i="26"/>
  <c r="AF144" i="26"/>
  <c r="AG144" i="26"/>
  <c r="AH144" i="26"/>
  <c r="AI144" i="26"/>
  <c r="AJ144" i="26"/>
  <c r="AK144" i="26"/>
  <c r="AL144" i="26"/>
  <c r="AM144" i="26"/>
  <c r="AN144" i="26"/>
  <c r="AO144" i="26"/>
  <c r="AP144" i="26"/>
  <c r="AQ144" i="26"/>
  <c r="AR144" i="26"/>
  <c r="AS144" i="26"/>
  <c r="AT144" i="26"/>
  <c r="AU144" i="26"/>
  <c r="AV144" i="26"/>
  <c r="AW144" i="26"/>
  <c r="AX144" i="26"/>
  <c r="AY144" i="26"/>
  <c r="AZ144" i="26"/>
  <c r="BA144" i="26"/>
  <c r="BB144" i="26"/>
  <c r="BC144" i="26"/>
  <c r="BD144" i="26"/>
  <c r="BE144" i="26"/>
  <c r="BF144" i="26"/>
  <c r="BG144" i="26"/>
  <c r="I145" i="26"/>
  <c r="J145" i="26"/>
  <c r="K145" i="26"/>
  <c r="L145" i="26"/>
  <c r="M145" i="26"/>
  <c r="N145" i="26"/>
  <c r="O145" i="26"/>
  <c r="P145" i="26"/>
  <c r="Q145" i="26"/>
  <c r="R145" i="26"/>
  <c r="S145" i="26"/>
  <c r="T145" i="26"/>
  <c r="U145" i="26"/>
  <c r="V145" i="26"/>
  <c r="W145" i="26"/>
  <c r="X145" i="26"/>
  <c r="Y145" i="26"/>
  <c r="Z145" i="26"/>
  <c r="AA145" i="26"/>
  <c r="AB145" i="26"/>
  <c r="AC145" i="26"/>
  <c r="AD145" i="26"/>
  <c r="AE145" i="26"/>
  <c r="AF145" i="26"/>
  <c r="AG145" i="26"/>
  <c r="AH145" i="26"/>
  <c r="AI145" i="26"/>
  <c r="AJ145" i="26"/>
  <c r="AK145" i="26"/>
  <c r="AL145" i="26"/>
  <c r="AM145" i="26"/>
  <c r="AN145" i="26"/>
  <c r="AO145" i="26"/>
  <c r="AP145" i="26"/>
  <c r="AQ145" i="26"/>
  <c r="AR145" i="26"/>
  <c r="AS145" i="26"/>
  <c r="AT145" i="26"/>
  <c r="AU145" i="26"/>
  <c r="AV145" i="26"/>
  <c r="AW145" i="26"/>
  <c r="AX145" i="26"/>
  <c r="AY145" i="26"/>
  <c r="AZ145" i="26"/>
  <c r="BA145" i="26"/>
  <c r="BB145" i="26"/>
  <c r="BC145" i="26"/>
  <c r="BD145" i="26"/>
  <c r="BE145" i="26"/>
  <c r="BF145" i="26"/>
  <c r="BG145" i="26"/>
  <c r="I146" i="26"/>
  <c r="J146" i="26"/>
  <c r="K146" i="26"/>
  <c r="L146" i="26"/>
  <c r="M146" i="26"/>
  <c r="N146" i="26"/>
  <c r="O146" i="26"/>
  <c r="P146" i="26"/>
  <c r="Q146" i="26"/>
  <c r="R146" i="26"/>
  <c r="S146" i="26"/>
  <c r="T146" i="26"/>
  <c r="U146" i="26"/>
  <c r="V146" i="26"/>
  <c r="W146" i="26"/>
  <c r="X146" i="26"/>
  <c r="Y146" i="26"/>
  <c r="Z146" i="26"/>
  <c r="AA146" i="26"/>
  <c r="AB146" i="26"/>
  <c r="AC146" i="26"/>
  <c r="AD146" i="26"/>
  <c r="AE146" i="26"/>
  <c r="AF146" i="26"/>
  <c r="AG146" i="26"/>
  <c r="AH146" i="26"/>
  <c r="AI146" i="26"/>
  <c r="AJ146" i="26"/>
  <c r="AK146" i="26"/>
  <c r="AL146" i="26"/>
  <c r="AM146" i="26"/>
  <c r="AN146" i="26"/>
  <c r="AO146" i="26"/>
  <c r="AP146" i="26"/>
  <c r="AQ146" i="26"/>
  <c r="AR146" i="26"/>
  <c r="AS146" i="26"/>
  <c r="AT146" i="26"/>
  <c r="AU146" i="26"/>
  <c r="AV146" i="26"/>
  <c r="AW146" i="26"/>
  <c r="AX146" i="26"/>
  <c r="AY146" i="26"/>
  <c r="AZ146" i="26"/>
  <c r="BA146" i="26"/>
  <c r="BB146" i="26"/>
  <c r="BC146" i="26"/>
  <c r="BD146" i="26"/>
  <c r="BE146" i="26"/>
  <c r="BF146" i="26"/>
  <c r="BG146" i="26"/>
  <c r="I147" i="26"/>
  <c r="J147" i="26"/>
  <c r="K147" i="26"/>
  <c r="L147" i="26"/>
  <c r="M147" i="26"/>
  <c r="N147" i="26"/>
  <c r="O147" i="26"/>
  <c r="P147" i="26"/>
  <c r="Q147" i="26"/>
  <c r="R147" i="26"/>
  <c r="S147" i="26"/>
  <c r="T147" i="26"/>
  <c r="U147" i="26"/>
  <c r="V147" i="26"/>
  <c r="W147" i="26"/>
  <c r="X147" i="26"/>
  <c r="Y147" i="26"/>
  <c r="Z147" i="26"/>
  <c r="AA147" i="26"/>
  <c r="AB147" i="26"/>
  <c r="AC147" i="26"/>
  <c r="AD147" i="26"/>
  <c r="AE147" i="26"/>
  <c r="AF147" i="26"/>
  <c r="AG147" i="26"/>
  <c r="AH147" i="26"/>
  <c r="AI147" i="26"/>
  <c r="AJ147" i="26"/>
  <c r="AK147" i="26"/>
  <c r="AL147" i="26"/>
  <c r="AM147" i="26"/>
  <c r="AN147" i="26"/>
  <c r="AO147" i="26"/>
  <c r="AP147" i="26"/>
  <c r="AQ147" i="26"/>
  <c r="AR147" i="26"/>
  <c r="AS147" i="26"/>
  <c r="AT147" i="26"/>
  <c r="AU147" i="26"/>
  <c r="AV147" i="26"/>
  <c r="AW147" i="26"/>
  <c r="AX147" i="26"/>
  <c r="AY147" i="26"/>
  <c r="AZ147" i="26"/>
  <c r="BA147" i="26"/>
  <c r="BB147" i="26"/>
  <c r="BC147" i="26"/>
  <c r="BD147" i="26"/>
  <c r="BE147" i="26"/>
  <c r="BF147" i="26"/>
  <c r="BG147" i="26"/>
  <c r="I148" i="26"/>
  <c r="J148" i="26"/>
  <c r="K148" i="26"/>
  <c r="L148" i="26"/>
  <c r="M148" i="26"/>
  <c r="N148" i="26"/>
  <c r="O148" i="26"/>
  <c r="P148" i="26"/>
  <c r="Q148" i="26"/>
  <c r="R148" i="26"/>
  <c r="S148" i="26"/>
  <c r="T148" i="26"/>
  <c r="U148" i="26"/>
  <c r="V148" i="26"/>
  <c r="W148" i="26"/>
  <c r="X148" i="26"/>
  <c r="Y148" i="26"/>
  <c r="Z148" i="26"/>
  <c r="AA148" i="26"/>
  <c r="AB148" i="26"/>
  <c r="AC148" i="26"/>
  <c r="AD148" i="26"/>
  <c r="AE148" i="26"/>
  <c r="AF148" i="26"/>
  <c r="AG148" i="26"/>
  <c r="AH148" i="26"/>
  <c r="AI148" i="26"/>
  <c r="AJ148" i="26"/>
  <c r="AK148" i="26"/>
  <c r="AL148" i="26"/>
  <c r="AM148" i="26"/>
  <c r="AN148" i="26"/>
  <c r="AO148" i="26"/>
  <c r="AP148" i="26"/>
  <c r="AQ148" i="26"/>
  <c r="AR148" i="26"/>
  <c r="AS148" i="26"/>
  <c r="AT148" i="26"/>
  <c r="AU148" i="26"/>
  <c r="AV148" i="26"/>
  <c r="AW148" i="26"/>
  <c r="AX148" i="26"/>
  <c r="AY148" i="26"/>
  <c r="AZ148" i="26"/>
  <c r="BA148" i="26"/>
  <c r="BB148" i="26"/>
  <c r="BC148" i="26"/>
  <c r="BD148" i="26"/>
  <c r="BE148" i="26"/>
  <c r="BF148" i="26"/>
  <c r="BG148" i="26"/>
  <c r="I149" i="26"/>
  <c r="J149" i="26"/>
  <c r="K149" i="26"/>
  <c r="L149" i="26"/>
  <c r="M149" i="26"/>
  <c r="N149" i="26"/>
  <c r="O149" i="26"/>
  <c r="P149" i="26"/>
  <c r="Q149" i="26"/>
  <c r="R149" i="26"/>
  <c r="S149" i="26"/>
  <c r="T149" i="26"/>
  <c r="U149" i="26"/>
  <c r="V149" i="26"/>
  <c r="W149" i="26"/>
  <c r="X149" i="26"/>
  <c r="Y149" i="26"/>
  <c r="Z149" i="26"/>
  <c r="AA149" i="26"/>
  <c r="AB149" i="26"/>
  <c r="AC149" i="26"/>
  <c r="AD149" i="26"/>
  <c r="AE149" i="26"/>
  <c r="AF149" i="26"/>
  <c r="AG149" i="26"/>
  <c r="AH149" i="26"/>
  <c r="AI149" i="26"/>
  <c r="AJ149" i="26"/>
  <c r="AK149" i="26"/>
  <c r="AL149" i="26"/>
  <c r="AM149" i="26"/>
  <c r="AN149" i="26"/>
  <c r="AO149" i="26"/>
  <c r="AP149" i="26"/>
  <c r="AQ149" i="26"/>
  <c r="AR149" i="26"/>
  <c r="AS149" i="26"/>
  <c r="AT149" i="26"/>
  <c r="AU149" i="26"/>
  <c r="AV149" i="26"/>
  <c r="AW149" i="26"/>
  <c r="AX149" i="26"/>
  <c r="AY149" i="26"/>
  <c r="AZ149" i="26"/>
  <c r="BA149" i="26"/>
  <c r="BB149" i="26"/>
  <c r="BC149" i="26"/>
  <c r="BD149" i="26"/>
  <c r="BE149" i="26"/>
  <c r="BF149" i="26"/>
  <c r="BG149" i="26"/>
  <c r="I150" i="26"/>
  <c r="J150" i="26"/>
  <c r="K150" i="26"/>
  <c r="L150" i="26"/>
  <c r="M150" i="26"/>
  <c r="N150" i="26"/>
  <c r="O150" i="26"/>
  <c r="P150" i="26"/>
  <c r="Q150" i="26"/>
  <c r="R150" i="26"/>
  <c r="S150" i="26"/>
  <c r="T150" i="26"/>
  <c r="U150" i="26"/>
  <c r="V150" i="26"/>
  <c r="W150" i="26"/>
  <c r="X150" i="26"/>
  <c r="Y150" i="26"/>
  <c r="Z150" i="26"/>
  <c r="AA150" i="26"/>
  <c r="AB150" i="26"/>
  <c r="AC150" i="26"/>
  <c r="AD150" i="26"/>
  <c r="AE150" i="26"/>
  <c r="AF150" i="26"/>
  <c r="AG150" i="26"/>
  <c r="AH150" i="26"/>
  <c r="AI150" i="26"/>
  <c r="AJ150" i="26"/>
  <c r="AK150" i="26"/>
  <c r="AL150" i="26"/>
  <c r="AM150" i="26"/>
  <c r="AN150" i="26"/>
  <c r="AO150" i="26"/>
  <c r="AP150" i="26"/>
  <c r="AQ150" i="26"/>
  <c r="AR150" i="26"/>
  <c r="AS150" i="26"/>
  <c r="AT150" i="26"/>
  <c r="AU150" i="26"/>
  <c r="AV150" i="26"/>
  <c r="AW150" i="26"/>
  <c r="AX150" i="26"/>
  <c r="AY150" i="26"/>
  <c r="AZ150" i="26"/>
  <c r="BA150" i="26"/>
  <c r="BB150" i="26"/>
  <c r="BC150" i="26"/>
  <c r="BD150" i="26"/>
  <c r="BE150" i="26"/>
  <c r="BF150" i="26"/>
  <c r="BG150" i="26"/>
  <c r="I151" i="26"/>
  <c r="J151" i="26"/>
  <c r="K151" i="26"/>
  <c r="L151" i="26"/>
  <c r="M151" i="26"/>
  <c r="N151" i="26"/>
  <c r="O151" i="26"/>
  <c r="P151" i="26"/>
  <c r="Q151" i="26"/>
  <c r="R151" i="26"/>
  <c r="S151" i="26"/>
  <c r="T151" i="26"/>
  <c r="U151" i="26"/>
  <c r="V151" i="26"/>
  <c r="W151" i="26"/>
  <c r="X151" i="26"/>
  <c r="Y151" i="26"/>
  <c r="Z151" i="26"/>
  <c r="AA151" i="26"/>
  <c r="AB151" i="26"/>
  <c r="AC151" i="26"/>
  <c r="AD151" i="26"/>
  <c r="AE151" i="26"/>
  <c r="AF151" i="26"/>
  <c r="AG151" i="26"/>
  <c r="AH151" i="26"/>
  <c r="AI151" i="26"/>
  <c r="AJ151" i="26"/>
  <c r="AK151" i="26"/>
  <c r="AL151" i="26"/>
  <c r="AM151" i="26"/>
  <c r="AN151" i="26"/>
  <c r="AO151" i="26"/>
  <c r="AP151" i="26"/>
  <c r="AQ151" i="26"/>
  <c r="AR151" i="26"/>
  <c r="AS151" i="26"/>
  <c r="AT151" i="26"/>
  <c r="AU151" i="26"/>
  <c r="AV151" i="26"/>
  <c r="AW151" i="26"/>
  <c r="AX151" i="26"/>
  <c r="AY151" i="26"/>
  <c r="AZ151" i="26"/>
  <c r="BA151" i="26"/>
  <c r="BB151" i="26"/>
  <c r="BC151" i="26"/>
  <c r="BD151" i="26"/>
  <c r="BE151" i="26"/>
  <c r="BF151" i="26"/>
  <c r="BG151" i="26"/>
  <c r="I152" i="26"/>
  <c r="J152" i="26"/>
  <c r="K152" i="26"/>
  <c r="L152" i="26"/>
  <c r="M152" i="26"/>
  <c r="N152" i="26"/>
  <c r="O152" i="26"/>
  <c r="P152" i="26"/>
  <c r="Q152" i="26"/>
  <c r="R152" i="26"/>
  <c r="S152" i="26"/>
  <c r="T152" i="26"/>
  <c r="U152" i="26"/>
  <c r="V152" i="26"/>
  <c r="W152" i="26"/>
  <c r="X152" i="26"/>
  <c r="Y152" i="26"/>
  <c r="Z152" i="26"/>
  <c r="AA152" i="26"/>
  <c r="AB152" i="26"/>
  <c r="AC152" i="26"/>
  <c r="AD152" i="26"/>
  <c r="AE152" i="26"/>
  <c r="AF152" i="26"/>
  <c r="AG152" i="26"/>
  <c r="AH152" i="26"/>
  <c r="AI152" i="26"/>
  <c r="AJ152" i="26"/>
  <c r="AK152" i="26"/>
  <c r="AL152" i="26"/>
  <c r="AM152" i="26"/>
  <c r="AN152" i="26"/>
  <c r="AO152" i="26"/>
  <c r="AP152" i="26"/>
  <c r="AQ152" i="26"/>
  <c r="AR152" i="26"/>
  <c r="AS152" i="26"/>
  <c r="AT152" i="26"/>
  <c r="AU152" i="26"/>
  <c r="AV152" i="26"/>
  <c r="AW152" i="26"/>
  <c r="AX152" i="26"/>
  <c r="AY152" i="26"/>
  <c r="AZ152" i="26"/>
  <c r="BA152" i="26"/>
  <c r="BB152" i="26"/>
  <c r="BC152" i="26"/>
  <c r="BD152" i="26"/>
  <c r="BE152" i="26"/>
  <c r="BF152" i="26"/>
  <c r="BG152" i="26"/>
  <c r="I153" i="26"/>
  <c r="J153" i="26"/>
  <c r="K153" i="26"/>
  <c r="L153" i="26"/>
  <c r="M153" i="26"/>
  <c r="N153" i="26"/>
  <c r="O153" i="26"/>
  <c r="P153" i="26"/>
  <c r="Q153" i="26"/>
  <c r="R153" i="26"/>
  <c r="S153" i="26"/>
  <c r="T153" i="26"/>
  <c r="U153" i="26"/>
  <c r="V153" i="26"/>
  <c r="W153" i="26"/>
  <c r="X153" i="26"/>
  <c r="Y153" i="26"/>
  <c r="Z153" i="26"/>
  <c r="AA153" i="26"/>
  <c r="AB153" i="26"/>
  <c r="AC153" i="26"/>
  <c r="AD153" i="26"/>
  <c r="AE153" i="26"/>
  <c r="AF153" i="26"/>
  <c r="AG153" i="26"/>
  <c r="AH153" i="26"/>
  <c r="AI153" i="26"/>
  <c r="AJ153" i="26"/>
  <c r="AK153" i="26"/>
  <c r="AL153" i="26"/>
  <c r="AM153" i="26"/>
  <c r="AN153" i="26"/>
  <c r="AO153" i="26"/>
  <c r="AP153" i="26"/>
  <c r="AQ153" i="26"/>
  <c r="AR153" i="26"/>
  <c r="AS153" i="26"/>
  <c r="AT153" i="26"/>
  <c r="AU153" i="26"/>
  <c r="AV153" i="26"/>
  <c r="AW153" i="26"/>
  <c r="AX153" i="26"/>
  <c r="AY153" i="26"/>
  <c r="AZ153" i="26"/>
  <c r="BA153" i="26"/>
  <c r="BB153" i="26"/>
  <c r="BC153" i="26"/>
  <c r="BD153" i="26"/>
  <c r="BE153" i="26"/>
  <c r="BF153" i="26"/>
  <c r="BG153" i="26"/>
  <c r="I154" i="26"/>
  <c r="J154" i="26"/>
  <c r="K154" i="26"/>
  <c r="L154" i="26"/>
  <c r="M154" i="26"/>
  <c r="N154" i="26"/>
  <c r="O154" i="26"/>
  <c r="P154" i="26"/>
  <c r="Q154" i="26"/>
  <c r="R154" i="26"/>
  <c r="S154" i="26"/>
  <c r="T154" i="26"/>
  <c r="U154" i="26"/>
  <c r="V154" i="26"/>
  <c r="W154" i="26"/>
  <c r="X154" i="26"/>
  <c r="Y154" i="26"/>
  <c r="Z154" i="26"/>
  <c r="AA154" i="26"/>
  <c r="AB154" i="26"/>
  <c r="AC154" i="26"/>
  <c r="AD154" i="26"/>
  <c r="AE154" i="26"/>
  <c r="AF154" i="26"/>
  <c r="AG154" i="26"/>
  <c r="AH154" i="26"/>
  <c r="AI154" i="26"/>
  <c r="AJ154" i="26"/>
  <c r="AK154" i="26"/>
  <c r="AL154" i="26"/>
  <c r="AM154" i="26"/>
  <c r="AN154" i="26"/>
  <c r="AO154" i="26"/>
  <c r="AP154" i="26"/>
  <c r="AQ154" i="26"/>
  <c r="AR154" i="26"/>
  <c r="AS154" i="26"/>
  <c r="AT154" i="26"/>
  <c r="AU154" i="26"/>
  <c r="AV154" i="26"/>
  <c r="AW154" i="26"/>
  <c r="AX154" i="26"/>
  <c r="AY154" i="26"/>
  <c r="AZ154" i="26"/>
  <c r="BA154" i="26"/>
  <c r="BB154" i="26"/>
  <c r="BC154" i="26"/>
  <c r="BD154" i="26"/>
  <c r="BE154" i="26"/>
  <c r="BF154" i="26"/>
  <c r="BG154" i="26"/>
  <c r="I155" i="26"/>
  <c r="J155" i="26"/>
  <c r="K155" i="26"/>
  <c r="L155" i="26"/>
  <c r="M155" i="26"/>
  <c r="N155" i="26"/>
  <c r="O155" i="26"/>
  <c r="P155" i="26"/>
  <c r="Q155" i="26"/>
  <c r="R155" i="26"/>
  <c r="S155" i="26"/>
  <c r="T155" i="26"/>
  <c r="U155" i="26"/>
  <c r="V155" i="26"/>
  <c r="W155" i="26"/>
  <c r="X155" i="26"/>
  <c r="Y155" i="26"/>
  <c r="Z155" i="26"/>
  <c r="AA155" i="26"/>
  <c r="AB155" i="26"/>
  <c r="AC155" i="26"/>
  <c r="AD155" i="26"/>
  <c r="AE155" i="26"/>
  <c r="AF155" i="26"/>
  <c r="AG155" i="26"/>
  <c r="AH155" i="26"/>
  <c r="AI155" i="26"/>
  <c r="AJ155" i="26"/>
  <c r="AK155" i="26"/>
  <c r="AL155" i="26"/>
  <c r="AM155" i="26"/>
  <c r="AN155" i="26"/>
  <c r="AO155" i="26"/>
  <c r="AP155" i="26"/>
  <c r="AQ155" i="26"/>
  <c r="AR155" i="26"/>
  <c r="AS155" i="26"/>
  <c r="AT155" i="26"/>
  <c r="AU155" i="26"/>
  <c r="AV155" i="26"/>
  <c r="AW155" i="26"/>
  <c r="AX155" i="26"/>
  <c r="AY155" i="26"/>
  <c r="AZ155" i="26"/>
  <c r="BA155" i="26"/>
  <c r="BB155" i="26"/>
  <c r="BC155" i="26"/>
  <c r="BD155" i="26"/>
  <c r="BE155" i="26"/>
  <c r="BF155" i="26"/>
  <c r="BG155" i="26"/>
  <c r="I156" i="26"/>
  <c r="J156" i="26"/>
  <c r="K156" i="26"/>
  <c r="L156" i="26"/>
  <c r="M156" i="26"/>
  <c r="N156" i="26"/>
  <c r="O156" i="26"/>
  <c r="P156" i="26"/>
  <c r="Q156" i="26"/>
  <c r="R156" i="26"/>
  <c r="S156" i="26"/>
  <c r="T156" i="26"/>
  <c r="U156" i="26"/>
  <c r="V156" i="26"/>
  <c r="W156" i="26"/>
  <c r="X156" i="26"/>
  <c r="Y156" i="26"/>
  <c r="Z156" i="26"/>
  <c r="AA156" i="26"/>
  <c r="AB156" i="26"/>
  <c r="AC156" i="26"/>
  <c r="AD156" i="26"/>
  <c r="AE156" i="26"/>
  <c r="AF156" i="26"/>
  <c r="AG156" i="26"/>
  <c r="AH156" i="26"/>
  <c r="AI156" i="26"/>
  <c r="AJ156" i="26"/>
  <c r="AK156" i="26"/>
  <c r="AL156" i="26"/>
  <c r="AM156" i="26"/>
  <c r="AN156" i="26"/>
  <c r="AO156" i="26"/>
  <c r="AP156" i="26"/>
  <c r="AQ156" i="26"/>
  <c r="AR156" i="26"/>
  <c r="AS156" i="26"/>
  <c r="AT156" i="26"/>
  <c r="AU156" i="26"/>
  <c r="AV156" i="26"/>
  <c r="AW156" i="26"/>
  <c r="AX156" i="26"/>
  <c r="AY156" i="26"/>
  <c r="AZ156" i="26"/>
  <c r="BA156" i="26"/>
  <c r="BB156" i="26"/>
  <c r="BC156" i="26"/>
  <c r="BD156" i="26"/>
  <c r="BE156" i="26"/>
  <c r="BF156" i="26"/>
  <c r="BG156" i="26"/>
  <c r="I157" i="26"/>
  <c r="J157" i="26"/>
  <c r="K157" i="26"/>
  <c r="L157" i="26"/>
  <c r="M157" i="26"/>
  <c r="N157" i="26"/>
  <c r="O157" i="26"/>
  <c r="P157" i="26"/>
  <c r="Q157" i="26"/>
  <c r="R157" i="26"/>
  <c r="S157" i="26"/>
  <c r="T157" i="26"/>
  <c r="U157" i="26"/>
  <c r="V157" i="26"/>
  <c r="W157" i="26"/>
  <c r="X157" i="26"/>
  <c r="Y157" i="26"/>
  <c r="Z157" i="26"/>
  <c r="AA157" i="26"/>
  <c r="AB157" i="26"/>
  <c r="AC157" i="26"/>
  <c r="AD157" i="26"/>
  <c r="AE157" i="26"/>
  <c r="AF157" i="26"/>
  <c r="AG157" i="26"/>
  <c r="AH157" i="26"/>
  <c r="AI157" i="26"/>
  <c r="AJ157" i="26"/>
  <c r="AK157" i="26"/>
  <c r="AL157" i="26"/>
  <c r="AM157" i="26"/>
  <c r="AN157" i="26"/>
  <c r="AO157" i="26"/>
  <c r="AP157" i="26"/>
  <c r="AQ157" i="26"/>
  <c r="AR157" i="26"/>
  <c r="AS157" i="26"/>
  <c r="AT157" i="26"/>
  <c r="AU157" i="26"/>
  <c r="AV157" i="26"/>
  <c r="AW157" i="26"/>
  <c r="AX157" i="26"/>
  <c r="AY157" i="26"/>
  <c r="AZ157" i="26"/>
  <c r="BA157" i="26"/>
  <c r="BB157" i="26"/>
  <c r="BC157" i="26"/>
  <c r="BD157" i="26"/>
  <c r="BE157" i="26"/>
  <c r="BF157" i="26"/>
  <c r="BG157" i="26"/>
  <c r="I158" i="26"/>
  <c r="J158" i="26"/>
  <c r="K158" i="26"/>
  <c r="L158" i="26"/>
  <c r="M158" i="26"/>
  <c r="N158" i="26"/>
  <c r="O158" i="26"/>
  <c r="P158" i="26"/>
  <c r="Q158" i="26"/>
  <c r="R158" i="26"/>
  <c r="S158" i="26"/>
  <c r="T158" i="26"/>
  <c r="U158" i="26"/>
  <c r="V158" i="26"/>
  <c r="W158" i="26"/>
  <c r="X158" i="26"/>
  <c r="Y158" i="26"/>
  <c r="Z158" i="26"/>
  <c r="AA158" i="26"/>
  <c r="AB158" i="26"/>
  <c r="AC158" i="26"/>
  <c r="AD158" i="26"/>
  <c r="AE158" i="26"/>
  <c r="AF158" i="26"/>
  <c r="AG158" i="26"/>
  <c r="AH158" i="26"/>
  <c r="AI158" i="26"/>
  <c r="AJ158" i="26"/>
  <c r="AK158" i="26"/>
  <c r="AL158" i="26"/>
  <c r="AM158" i="26"/>
  <c r="AN158" i="26"/>
  <c r="AO158" i="26"/>
  <c r="AP158" i="26"/>
  <c r="AQ158" i="26"/>
  <c r="AR158" i="26"/>
  <c r="AS158" i="26"/>
  <c r="AT158" i="26"/>
  <c r="AU158" i="26"/>
  <c r="AV158" i="26"/>
  <c r="AW158" i="26"/>
  <c r="AX158" i="26"/>
  <c r="AY158" i="26"/>
  <c r="AZ158" i="26"/>
  <c r="BA158" i="26"/>
  <c r="BB158" i="26"/>
  <c r="BC158" i="26"/>
  <c r="BD158" i="26"/>
  <c r="BE158" i="26"/>
  <c r="BF158" i="26"/>
  <c r="BG158" i="26"/>
  <c r="I159" i="26"/>
  <c r="J159" i="26"/>
  <c r="K159" i="26"/>
  <c r="L159" i="26"/>
  <c r="M159" i="26"/>
  <c r="N159" i="26"/>
  <c r="O159" i="26"/>
  <c r="P159" i="26"/>
  <c r="Q159" i="26"/>
  <c r="R159" i="26"/>
  <c r="S159" i="26"/>
  <c r="T159" i="26"/>
  <c r="U159" i="26"/>
  <c r="V159" i="26"/>
  <c r="W159" i="26"/>
  <c r="X159" i="26"/>
  <c r="Y159" i="26"/>
  <c r="Z159" i="26"/>
  <c r="AA159" i="26"/>
  <c r="AB159" i="26"/>
  <c r="AC159" i="26"/>
  <c r="AD159" i="26"/>
  <c r="AE159" i="26"/>
  <c r="AF159" i="26"/>
  <c r="AG159" i="26"/>
  <c r="AH159" i="26"/>
  <c r="AI159" i="26"/>
  <c r="AJ159" i="26"/>
  <c r="AK159" i="26"/>
  <c r="AL159" i="26"/>
  <c r="AM159" i="26"/>
  <c r="AN159" i="26"/>
  <c r="AO159" i="26"/>
  <c r="AP159" i="26"/>
  <c r="AQ159" i="26"/>
  <c r="AR159" i="26"/>
  <c r="AS159" i="26"/>
  <c r="AT159" i="26"/>
  <c r="AU159" i="26"/>
  <c r="AV159" i="26"/>
  <c r="AW159" i="26"/>
  <c r="AX159" i="26"/>
  <c r="AY159" i="26"/>
  <c r="AZ159" i="26"/>
  <c r="BA159" i="26"/>
  <c r="BB159" i="26"/>
  <c r="BC159" i="26"/>
  <c r="BD159" i="26"/>
  <c r="BE159" i="26"/>
  <c r="BF159" i="26"/>
  <c r="BG159" i="26"/>
  <c r="I160" i="26"/>
  <c r="J160" i="26"/>
  <c r="K160" i="26"/>
  <c r="L160" i="26"/>
  <c r="M160" i="26"/>
  <c r="N160" i="26"/>
  <c r="O160" i="26"/>
  <c r="P160" i="26"/>
  <c r="Q160" i="26"/>
  <c r="R160" i="26"/>
  <c r="S160" i="26"/>
  <c r="T160" i="26"/>
  <c r="U160" i="26"/>
  <c r="V160" i="26"/>
  <c r="W160" i="26"/>
  <c r="X160" i="26"/>
  <c r="Y160" i="26"/>
  <c r="Z160" i="26"/>
  <c r="AA160" i="26"/>
  <c r="AB160" i="26"/>
  <c r="AC160" i="26"/>
  <c r="AD160" i="26"/>
  <c r="AE160" i="26"/>
  <c r="AF160" i="26"/>
  <c r="AG160" i="26"/>
  <c r="AH160" i="26"/>
  <c r="AI160" i="26"/>
  <c r="AJ160" i="26"/>
  <c r="AK160" i="26"/>
  <c r="AL160" i="26"/>
  <c r="AM160" i="26"/>
  <c r="AN160" i="26"/>
  <c r="AO160" i="26"/>
  <c r="AP160" i="26"/>
  <c r="AQ160" i="26"/>
  <c r="AR160" i="26"/>
  <c r="AS160" i="26"/>
  <c r="AT160" i="26"/>
  <c r="AU160" i="26"/>
  <c r="AV160" i="26"/>
  <c r="AW160" i="26"/>
  <c r="AX160" i="26"/>
  <c r="AY160" i="26"/>
  <c r="AZ160" i="26"/>
  <c r="BA160" i="26"/>
  <c r="BB160" i="26"/>
  <c r="BC160" i="26"/>
  <c r="BD160" i="26"/>
  <c r="BE160" i="26"/>
  <c r="BF160" i="26"/>
  <c r="BG160" i="26"/>
  <c r="I161" i="26"/>
  <c r="J161" i="26"/>
  <c r="K161" i="26"/>
  <c r="L161" i="26"/>
  <c r="M161" i="26"/>
  <c r="N161" i="26"/>
  <c r="O161" i="26"/>
  <c r="P161" i="26"/>
  <c r="Q161" i="26"/>
  <c r="R161" i="26"/>
  <c r="S161" i="26"/>
  <c r="T161" i="26"/>
  <c r="U161" i="26"/>
  <c r="V161" i="26"/>
  <c r="W161" i="26"/>
  <c r="X161" i="26"/>
  <c r="Y161" i="26"/>
  <c r="Z161" i="26"/>
  <c r="AA161" i="26"/>
  <c r="AB161" i="26"/>
  <c r="AC161" i="26"/>
  <c r="AD161" i="26"/>
  <c r="AE161" i="26"/>
  <c r="AF161" i="26"/>
  <c r="AG161" i="26"/>
  <c r="AH161" i="26"/>
  <c r="AI161" i="26"/>
  <c r="AJ161" i="26"/>
  <c r="AK161" i="26"/>
  <c r="AL161" i="26"/>
  <c r="AM161" i="26"/>
  <c r="AN161" i="26"/>
  <c r="AO161" i="26"/>
  <c r="AP161" i="26"/>
  <c r="AQ161" i="26"/>
  <c r="AR161" i="26"/>
  <c r="AS161" i="26"/>
  <c r="AT161" i="26"/>
  <c r="AU161" i="26"/>
  <c r="AV161" i="26"/>
  <c r="AW161" i="26"/>
  <c r="AX161" i="26"/>
  <c r="AY161" i="26"/>
  <c r="AZ161" i="26"/>
  <c r="BA161" i="26"/>
  <c r="BB161" i="26"/>
  <c r="BC161" i="26"/>
  <c r="BD161" i="26"/>
  <c r="BE161" i="26"/>
  <c r="BF161" i="26"/>
  <c r="BG161" i="26"/>
  <c r="I162" i="26"/>
  <c r="J162" i="26"/>
  <c r="K162" i="26"/>
  <c r="L162" i="26"/>
  <c r="M162" i="26"/>
  <c r="N162" i="26"/>
  <c r="O162" i="26"/>
  <c r="P162" i="26"/>
  <c r="Q162" i="26"/>
  <c r="R162" i="26"/>
  <c r="S162" i="26"/>
  <c r="T162" i="26"/>
  <c r="U162" i="26"/>
  <c r="V162" i="26"/>
  <c r="W162" i="26"/>
  <c r="X162" i="26"/>
  <c r="Y162" i="26"/>
  <c r="Z162" i="26"/>
  <c r="AA162" i="26"/>
  <c r="AB162" i="26"/>
  <c r="AC162" i="26"/>
  <c r="AD162" i="26"/>
  <c r="AE162" i="26"/>
  <c r="AF162" i="26"/>
  <c r="AG162" i="26"/>
  <c r="AH162" i="26"/>
  <c r="AI162" i="26"/>
  <c r="AJ162" i="26"/>
  <c r="AK162" i="26"/>
  <c r="AL162" i="26"/>
  <c r="AM162" i="26"/>
  <c r="AN162" i="26"/>
  <c r="AO162" i="26"/>
  <c r="AP162" i="26"/>
  <c r="AQ162" i="26"/>
  <c r="AR162" i="26"/>
  <c r="AS162" i="26"/>
  <c r="AT162" i="26"/>
  <c r="AU162" i="26"/>
  <c r="AV162" i="26"/>
  <c r="AW162" i="26"/>
  <c r="AX162" i="26"/>
  <c r="AY162" i="26"/>
  <c r="AZ162" i="26"/>
  <c r="BA162" i="26"/>
  <c r="BB162" i="26"/>
  <c r="BC162" i="26"/>
  <c r="BD162" i="26"/>
  <c r="BE162" i="26"/>
  <c r="BF162" i="26"/>
  <c r="BG162" i="26"/>
  <c r="I163" i="26"/>
  <c r="J163" i="26"/>
  <c r="K163" i="26"/>
  <c r="L163" i="26"/>
  <c r="M163" i="26"/>
  <c r="N163" i="26"/>
  <c r="O163" i="26"/>
  <c r="P163" i="26"/>
  <c r="Q163" i="26"/>
  <c r="R163" i="26"/>
  <c r="S163" i="26"/>
  <c r="T163" i="26"/>
  <c r="U163" i="26"/>
  <c r="V163" i="26"/>
  <c r="W163" i="26"/>
  <c r="X163" i="26"/>
  <c r="Y163" i="26"/>
  <c r="Z163" i="26"/>
  <c r="AA163" i="26"/>
  <c r="AB163" i="26"/>
  <c r="AC163" i="26"/>
  <c r="AD163" i="26"/>
  <c r="AE163" i="26"/>
  <c r="AF163" i="26"/>
  <c r="AG163" i="26"/>
  <c r="AH163" i="26"/>
  <c r="AI163" i="26"/>
  <c r="AJ163" i="26"/>
  <c r="AK163" i="26"/>
  <c r="AL163" i="26"/>
  <c r="AM163" i="26"/>
  <c r="AN163" i="26"/>
  <c r="AO163" i="26"/>
  <c r="AP163" i="26"/>
  <c r="AQ163" i="26"/>
  <c r="AR163" i="26"/>
  <c r="AS163" i="26"/>
  <c r="AT163" i="26"/>
  <c r="AU163" i="26"/>
  <c r="AV163" i="26"/>
  <c r="AW163" i="26"/>
  <c r="AX163" i="26"/>
  <c r="AY163" i="26"/>
  <c r="AZ163" i="26"/>
  <c r="BA163" i="26"/>
  <c r="BB163" i="26"/>
  <c r="BC163" i="26"/>
  <c r="BD163" i="26"/>
  <c r="BE163" i="26"/>
  <c r="BF163" i="26"/>
  <c r="BG163" i="26"/>
  <c r="I164" i="26"/>
  <c r="J164" i="26"/>
  <c r="K164" i="26"/>
  <c r="L164" i="26"/>
  <c r="M164" i="26"/>
  <c r="N164" i="26"/>
  <c r="O164" i="26"/>
  <c r="P164" i="26"/>
  <c r="Q164" i="26"/>
  <c r="R164" i="26"/>
  <c r="S164" i="26"/>
  <c r="T164" i="26"/>
  <c r="U164" i="26"/>
  <c r="V164" i="26"/>
  <c r="W164" i="26"/>
  <c r="X164" i="26"/>
  <c r="Y164" i="26"/>
  <c r="Z164" i="26"/>
  <c r="AA164" i="26"/>
  <c r="AB164" i="26"/>
  <c r="AC164" i="26"/>
  <c r="AD164" i="26"/>
  <c r="AE164" i="26"/>
  <c r="AF164" i="26"/>
  <c r="AG164" i="26"/>
  <c r="AH164" i="26"/>
  <c r="AI164" i="26"/>
  <c r="AJ164" i="26"/>
  <c r="AK164" i="26"/>
  <c r="AL164" i="26"/>
  <c r="AM164" i="26"/>
  <c r="AN164" i="26"/>
  <c r="AO164" i="26"/>
  <c r="AP164" i="26"/>
  <c r="AQ164" i="26"/>
  <c r="AR164" i="26"/>
  <c r="AS164" i="26"/>
  <c r="AT164" i="26"/>
  <c r="AU164" i="26"/>
  <c r="AV164" i="26"/>
  <c r="AW164" i="26"/>
  <c r="AX164" i="26"/>
  <c r="AY164" i="26"/>
  <c r="AZ164" i="26"/>
  <c r="BA164" i="26"/>
  <c r="BB164" i="26"/>
  <c r="BC164" i="26"/>
  <c r="BD164" i="26"/>
  <c r="BE164" i="26"/>
  <c r="BF164" i="26"/>
  <c r="BG164" i="26"/>
  <c r="I165" i="26"/>
  <c r="J165" i="26"/>
  <c r="K165" i="26"/>
  <c r="L165" i="26"/>
  <c r="M165" i="26"/>
  <c r="N165" i="26"/>
  <c r="O165" i="26"/>
  <c r="P165" i="26"/>
  <c r="Q165" i="26"/>
  <c r="R165" i="26"/>
  <c r="S165" i="26"/>
  <c r="T165" i="26"/>
  <c r="U165" i="26"/>
  <c r="V165" i="26"/>
  <c r="W165" i="26"/>
  <c r="X165" i="26"/>
  <c r="Y165" i="26"/>
  <c r="Z165" i="26"/>
  <c r="AA165" i="26"/>
  <c r="AB165" i="26"/>
  <c r="AC165" i="26"/>
  <c r="AD165" i="26"/>
  <c r="AE165" i="26"/>
  <c r="AF165" i="26"/>
  <c r="AG165" i="26"/>
  <c r="AH165" i="26"/>
  <c r="AI165" i="26"/>
  <c r="AJ165" i="26"/>
  <c r="AK165" i="26"/>
  <c r="AL165" i="26"/>
  <c r="AM165" i="26"/>
  <c r="AN165" i="26"/>
  <c r="AO165" i="26"/>
  <c r="AP165" i="26"/>
  <c r="AQ165" i="26"/>
  <c r="AR165" i="26"/>
  <c r="AS165" i="26"/>
  <c r="AT165" i="26"/>
  <c r="AU165" i="26"/>
  <c r="AV165" i="26"/>
  <c r="AW165" i="26"/>
  <c r="AX165" i="26"/>
  <c r="AY165" i="26"/>
  <c r="AZ165" i="26"/>
  <c r="BA165" i="26"/>
  <c r="BB165" i="26"/>
  <c r="BC165" i="26"/>
  <c r="BD165" i="26"/>
  <c r="BE165" i="26"/>
  <c r="BF165" i="26"/>
  <c r="BG165" i="26"/>
  <c r="I166" i="26"/>
  <c r="J166" i="26"/>
  <c r="K166" i="26"/>
  <c r="L166" i="26"/>
  <c r="M166" i="26"/>
  <c r="N166" i="26"/>
  <c r="O166" i="26"/>
  <c r="P166" i="26"/>
  <c r="Q166" i="26"/>
  <c r="R166" i="26"/>
  <c r="S166" i="26"/>
  <c r="T166" i="26"/>
  <c r="U166" i="26"/>
  <c r="V166" i="26"/>
  <c r="W166" i="26"/>
  <c r="X166" i="26"/>
  <c r="Y166" i="26"/>
  <c r="Z166" i="26"/>
  <c r="AA166" i="26"/>
  <c r="AB166" i="26"/>
  <c r="AC166" i="26"/>
  <c r="AD166" i="26"/>
  <c r="AE166" i="26"/>
  <c r="AF166" i="26"/>
  <c r="AG166" i="26"/>
  <c r="AH166" i="26"/>
  <c r="AI166" i="26"/>
  <c r="AJ166" i="26"/>
  <c r="AK166" i="26"/>
  <c r="AL166" i="26"/>
  <c r="AM166" i="26"/>
  <c r="AN166" i="26"/>
  <c r="AO166" i="26"/>
  <c r="AP166" i="26"/>
  <c r="AQ166" i="26"/>
  <c r="AR166" i="26"/>
  <c r="AS166" i="26"/>
  <c r="AT166" i="26"/>
  <c r="AU166" i="26"/>
  <c r="AV166" i="26"/>
  <c r="AW166" i="26"/>
  <c r="AX166" i="26"/>
  <c r="AY166" i="26"/>
  <c r="AZ166" i="26"/>
  <c r="BA166" i="26"/>
  <c r="BB166" i="26"/>
  <c r="BC166" i="26"/>
  <c r="BD166" i="26"/>
  <c r="BE166" i="26"/>
  <c r="BF166" i="26"/>
  <c r="BG166" i="26"/>
  <c r="I167" i="26"/>
  <c r="J167" i="26"/>
  <c r="K167" i="26"/>
  <c r="L167" i="26"/>
  <c r="M167" i="26"/>
  <c r="N167" i="26"/>
  <c r="O167" i="26"/>
  <c r="P167" i="26"/>
  <c r="Q167" i="26"/>
  <c r="R167" i="26"/>
  <c r="S167" i="26"/>
  <c r="T167" i="26"/>
  <c r="U167" i="26"/>
  <c r="V167" i="26"/>
  <c r="W167" i="26"/>
  <c r="X167" i="26"/>
  <c r="Y167" i="26"/>
  <c r="Z167" i="26"/>
  <c r="AA167" i="26"/>
  <c r="AB167" i="26"/>
  <c r="AC167" i="26"/>
  <c r="AD167" i="26"/>
  <c r="AE167" i="26"/>
  <c r="AF167" i="26"/>
  <c r="AG167" i="26"/>
  <c r="AH167" i="26"/>
  <c r="AI167" i="26"/>
  <c r="AJ167" i="26"/>
  <c r="AK167" i="26"/>
  <c r="AL167" i="26"/>
  <c r="AM167" i="26"/>
  <c r="AN167" i="26"/>
  <c r="AO167" i="26"/>
  <c r="AP167" i="26"/>
  <c r="AQ167" i="26"/>
  <c r="AR167" i="26"/>
  <c r="AS167" i="26"/>
  <c r="AT167" i="26"/>
  <c r="AU167" i="26"/>
  <c r="AV167" i="26"/>
  <c r="AW167" i="26"/>
  <c r="AX167" i="26"/>
  <c r="AY167" i="26"/>
  <c r="AZ167" i="26"/>
  <c r="BA167" i="26"/>
  <c r="BB167" i="26"/>
  <c r="BC167" i="26"/>
  <c r="BD167" i="26"/>
  <c r="BE167" i="26"/>
  <c r="BF167" i="26"/>
  <c r="BG167" i="26"/>
  <c r="I168" i="26"/>
  <c r="J168" i="26"/>
  <c r="K168" i="26"/>
  <c r="L168" i="26"/>
  <c r="M168" i="26"/>
  <c r="N168" i="26"/>
  <c r="O168" i="26"/>
  <c r="P168" i="26"/>
  <c r="Q168" i="26"/>
  <c r="R168" i="26"/>
  <c r="S168" i="26"/>
  <c r="T168" i="26"/>
  <c r="U168" i="26"/>
  <c r="V168" i="26"/>
  <c r="W168" i="26"/>
  <c r="X168" i="26"/>
  <c r="Y168" i="26"/>
  <c r="Z168" i="26"/>
  <c r="AA168" i="26"/>
  <c r="AB168" i="26"/>
  <c r="AC168" i="26"/>
  <c r="AD168" i="26"/>
  <c r="AE168" i="26"/>
  <c r="AF168" i="26"/>
  <c r="AG168" i="26"/>
  <c r="AH168" i="26"/>
  <c r="AI168" i="26"/>
  <c r="AJ168" i="26"/>
  <c r="AK168" i="26"/>
  <c r="AL168" i="26"/>
  <c r="AM168" i="26"/>
  <c r="AN168" i="26"/>
  <c r="AO168" i="26"/>
  <c r="AP168" i="26"/>
  <c r="AQ168" i="26"/>
  <c r="AR168" i="26"/>
  <c r="AS168" i="26"/>
  <c r="AT168" i="26"/>
  <c r="AU168" i="26"/>
  <c r="AV168" i="26"/>
  <c r="AW168" i="26"/>
  <c r="AX168" i="26"/>
  <c r="AY168" i="26"/>
  <c r="AZ168" i="26"/>
  <c r="BA168" i="26"/>
  <c r="BB168" i="26"/>
  <c r="BC168" i="26"/>
  <c r="BD168" i="26"/>
  <c r="BE168" i="26"/>
  <c r="BF168" i="26"/>
  <c r="BG168" i="26"/>
  <c r="I169" i="26"/>
  <c r="J169" i="26"/>
  <c r="K169" i="26"/>
  <c r="L169" i="26"/>
  <c r="M169" i="26"/>
  <c r="N169" i="26"/>
  <c r="O169" i="26"/>
  <c r="P169" i="26"/>
  <c r="Q169" i="26"/>
  <c r="R169" i="26"/>
  <c r="S169" i="26"/>
  <c r="T169" i="26"/>
  <c r="U169" i="26"/>
  <c r="V169" i="26"/>
  <c r="W169" i="26"/>
  <c r="X169" i="26"/>
  <c r="Y169" i="26"/>
  <c r="Z169" i="26"/>
  <c r="AA169" i="26"/>
  <c r="AB169" i="26"/>
  <c r="AC169" i="26"/>
  <c r="AD169" i="26"/>
  <c r="AE169" i="26"/>
  <c r="AF169" i="26"/>
  <c r="AG169" i="26"/>
  <c r="AH169" i="26"/>
  <c r="AI169" i="26"/>
  <c r="AJ169" i="26"/>
  <c r="AK169" i="26"/>
  <c r="AL169" i="26"/>
  <c r="AM169" i="26"/>
  <c r="AN169" i="26"/>
  <c r="AO169" i="26"/>
  <c r="AP169" i="26"/>
  <c r="AQ169" i="26"/>
  <c r="AR169" i="26"/>
  <c r="AS169" i="26"/>
  <c r="AT169" i="26"/>
  <c r="AU169" i="26"/>
  <c r="AV169" i="26"/>
  <c r="AW169" i="26"/>
  <c r="AX169" i="26"/>
  <c r="AY169" i="26"/>
  <c r="AZ169" i="26"/>
  <c r="BA169" i="26"/>
  <c r="BB169" i="26"/>
  <c r="BC169" i="26"/>
  <c r="BD169" i="26"/>
  <c r="BE169" i="26"/>
  <c r="BF169" i="26"/>
  <c r="BG169" i="26"/>
  <c r="I170" i="26"/>
  <c r="J170" i="26"/>
  <c r="K170" i="26"/>
  <c r="L170" i="26"/>
  <c r="M170" i="26"/>
  <c r="N170" i="26"/>
  <c r="O170" i="26"/>
  <c r="P170" i="26"/>
  <c r="Q170" i="26"/>
  <c r="R170" i="26"/>
  <c r="S170" i="26"/>
  <c r="T170" i="26"/>
  <c r="U170" i="26"/>
  <c r="V170" i="26"/>
  <c r="W170" i="26"/>
  <c r="X170" i="26"/>
  <c r="Y170" i="26"/>
  <c r="Z170" i="26"/>
  <c r="AA170" i="26"/>
  <c r="AB170" i="26"/>
  <c r="AC170" i="26"/>
  <c r="AD170" i="26"/>
  <c r="AE170" i="26"/>
  <c r="AF170" i="26"/>
  <c r="AG170" i="26"/>
  <c r="AH170" i="26"/>
  <c r="AI170" i="26"/>
  <c r="AJ170" i="26"/>
  <c r="AK170" i="26"/>
  <c r="AL170" i="26"/>
  <c r="AM170" i="26"/>
  <c r="AN170" i="26"/>
  <c r="AO170" i="26"/>
  <c r="AP170" i="26"/>
  <c r="AQ170" i="26"/>
  <c r="AR170" i="26"/>
  <c r="AS170" i="26"/>
  <c r="AT170" i="26"/>
  <c r="AU170" i="26"/>
  <c r="AV170" i="26"/>
  <c r="AW170" i="26"/>
  <c r="AX170" i="26"/>
  <c r="AY170" i="26"/>
  <c r="AZ170" i="26"/>
  <c r="BA170" i="26"/>
  <c r="BB170" i="26"/>
  <c r="BC170" i="26"/>
  <c r="BD170" i="26"/>
  <c r="BE170" i="26"/>
  <c r="BF170" i="26"/>
  <c r="BG170" i="26"/>
  <c r="I171" i="26"/>
  <c r="J171" i="26"/>
  <c r="K171" i="26"/>
  <c r="L171" i="26"/>
  <c r="M171" i="26"/>
  <c r="N171" i="26"/>
  <c r="O171" i="26"/>
  <c r="P171" i="26"/>
  <c r="Q171" i="26"/>
  <c r="R171" i="26"/>
  <c r="S171" i="26"/>
  <c r="T171" i="26"/>
  <c r="U171" i="26"/>
  <c r="V171" i="26"/>
  <c r="W171" i="26"/>
  <c r="X171" i="26"/>
  <c r="Y171" i="26"/>
  <c r="Z171" i="26"/>
  <c r="AA171" i="26"/>
  <c r="AB171" i="26"/>
  <c r="AC171" i="26"/>
  <c r="AD171" i="26"/>
  <c r="AE171" i="26"/>
  <c r="AF171" i="26"/>
  <c r="AG171" i="26"/>
  <c r="AH171" i="26"/>
  <c r="AI171" i="26"/>
  <c r="AJ171" i="26"/>
  <c r="AK171" i="26"/>
  <c r="AL171" i="26"/>
  <c r="AM171" i="26"/>
  <c r="AN171" i="26"/>
  <c r="AO171" i="26"/>
  <c r="AP171" i="26"/>
  <c r="AQ171" i="26"/>
  <c r="AR171" i="26"/>
  <c r="AS171" i="26"/>
  <c r="AT171" i="26"/>
  <c r="AU171" i="26"/>
  <c r="AV171" i="26"/>
  <c r="AW171" i="26"/>
  <c r="AX171" i="26"/>
  <c r="AY171" i="26"/>
  <c r="AZ171" i="26"/>
  <c r="BA171" i="26"/>
  <c r="BB171" i="26"/>
  <c r="BC171" i="26"/>
  <c r="BD171" i="26"/>
  <c r="BE171" i="26"/>
  <c r="BF171" i="26"/>
  <c r="BG171" i="26"/>
  <c r="I172" i="26"/>
  <c r="J172" i="26"/>
  <c r="K172" i="26"/>
  <c r="L172" i="26"/>
  <c r="M172" i="26"/>
  <c r="N172" i="26"/>
  <c r="O172" i="26"/>
  <c r="P172" i="26"/>
  <c r="Q172" i="26"/>
  <c r="R172" i="26"/>
  <c r="S172" i="26"/>
  <c r="T172" i="26"/>
  <c r="U172" i="26"/>
  <c r="V172" i="26"/>
  <c r="W172" i="26"/>
  <c r="X172" i="26"/>
  <c r="Y172" i="26"/>
  <c r="Z172" i="26"/>
  <c r="AA172" i="26"/>
  <c r="AB172" i="26"/>
  <c r="AC172" i="26"/>
  <c r="AD172" i="26"/>
  <c r="AE172" i="26"/>
  <c r="AF172" i="26"/>
  <c r="AG172" i="26"/>
  <c r="AH172" i="26"/>
  <c r="AI172" i="26"/>
  <c r="AJ172" i="26"/>
  <c r="AK172" i="26"/>
  <c r="AL172" i="26"/>
  <c r="AM172" i="26"/>
  <c r="AN172" i="26"/>
  <c r="AO172" i="26"/>
  <c r="AP172" i="26"/>
  <c r="AQ172" i="26"/>
  <c r="AR172" i="26"/>
  <c r="AS172" i="26"/>
  <c r="AT172" i="26"/>
  <c r="AU172" i="26"/>
  <c r="AV172" i="26"/>
  <c r="AW172" i="26"/>
  <c r="AX172" i="26"/>
  <c r="AY172" i="26"/>
  <c r="AZ172" i="26"/>
  <c r="BA172" i="26"/>
  <c r="BB172" i="26"/>
  <c r="BC172" i="26"/>
  <c r="BD172" i="26"/>
  <c r="BE172" i="26"/>
  <c r="BF172" i="26"/>
  <c r="BG172" i="26"/>
  <c r="I173" i="26"/>
  <c r="J173" i="26"/>
  <c r="K173" i="26"/>
  <c r="L173" i="26"/>
  <c r="M173" i="26"/>
  <c r="N173" i="26"/>
  <c r="O173" i="26"/>
  <c r="P173" i="26"/>
  <c r="Q173" i="26"/>
  <c r="R173" i="26"/>
  <c r="S173" i="26"/>
  <c r="T173" i="26"/>
  <c r="U173" i="26"/>
  <c r="V173" i="26"/>
  <c r="W173" i="26"/>
  <c r="X173" i="26"/>
  <c r="Y173" i="26"/>
  <c r="Z173" i="26"/>
  <c r="AA173" i="26"/>
  <c r="AB173" i="26"/>
  <c r="AC173" i="26"/>
  <c r="AD173" i="26"/>
  <c r="AE173" i="26"/>
  <c r="AF173" i="26"/>
  <c r="AG173" i="26"/>
  <c r="AH173" i="26"/>
  <c r="AI173" i="26"/>
  <c r="AJ173" i="26"/>
  <c r="AK173" i="26"/>
  <c r="AL173" i="26"/>
  <c r="AM173" i="26"/>
  <c r="AN173" i="26"/>
  <c r="AO173" i="26"/>
  <c r="AP173" i="26"/>
  <c r="AQ173" i="26"/>
  <c r="AR173" i="26"/>
  <c r="AS173" i="26"/>
  <c r="AT173" i="26"/>
  <c r="AU173" i="26"/>
  <c r="AV173" i="26"/>
  <c r="AW173" i="26"/>
  <c r="AX173" i="26"/>
  <c r="AY173" i="26"/>
  <c r="AZ173" i="26"/>
  <c r="BA173" i="26"/>
  <c r="BB173" i="26"/>
  <c r="BC173" i="26"/>
  <c r="BD173" i="26"/>
  <c r="BE173" i="26"/>
  <c r="BF173" i="26"/>
  <c r="BG173" i="26"/>
  <c r="I174" i="26"/>
  <c r="J174" i="26"/>
  <c r="K174" i="26"/>
  <c r="L174" i="26"/>
  <c r="M174" i="26"/>
  <c r="N174" i="26"/>
  <c r="O174" i="26"/>
  <c r="P174" i="26"/>
  <c r="Q174" i="26"/>
  <c r="R174" i="26"/>
  <c r="S174" i="26"/>
  <c r="T174" i="26"/>
  <c r="U174" i="26"/>
  <c r="V174" i="26"/>
  <c r="W174" i="26"/>
  <c r="X174" i="26"/>
  <c r="Y174" i="26"/>
  <c r="Z174" i="26"/>
  <c r="AA174" i="26"/>
  <c r="AB174" i="26"/>
  <c r="AC174" i="26"/>
  <c r="AD174" i="26"/>
  <c r="AE174" i="26"/>
  <c r="AF174" i="26"/>
  <c r="AG174" i="26"/>
  <c r="AH174" i="26"/>
  <c r="AI174" i="26"/>
  <c r="AJ174" i="26"/>
  <c r="AK174" i="26"/>
  <c r="AL174" i="26"/>
  <c r="AM174" i="26"/>
  <c r="AN174" i="26"/>
  <c r="AO174" i="26"/>
  <c r="AP174" i="26"/>
  <c r="AQ174" i="26"/>
  <c r="AR174" i="26"/>
  <c r="AS174" i="26"/>
  <c r="AT174" i="26"/>
  <c r="AU174" i="26"/>
  <c r="AV174" i="26"/>
  <c r="AW174" i="26"/>
  <c r="AX174" i="26"/>
  <c r="AY174" i="26"/>
  <c r="AZ174" i="26"/>
  <c r="BA174" i="26"/>
  <c r="BB174" i="26"/>
  <c r="BC174" i="26"/>
  <c r="BD174" i="26"/>
  <c r="BE174" i="26"/>
  <c r="BF174" i="26"/>
  <c r="BG174" i="26"/>
  <c r="I175" i="26"/>
  <c r="J175" i="26"/>
  <c r="K175" i="26"/>
  <c r="L175" i="26"/>
  <c r="M175" i="26"/>
  <c r="N175" i="26"/>
  <c r="O175" i="26"/>
  <c r="P175" i="26"/>
  <c r="Q175" i="26"/>
  <c r="R175" i="26"/>
  <c r="S175" i="26"/>
  <c r="T175" i="26"/>
  <c r="U175" i="26"/>
  <c r="V175" i="26"/>
  <c r="W175" i="26"/>
  <c r="X175" i="26"/>
  <c r="Y175" i="26"/>
  <c r="Z175" i="26"/>
  <c r="AA175" i="26"/>
  <c r="AB175" i="26"/>
  <c r="AC175" i="26"/>
  <c r="AD175" i="26"/>
  <c r="AE175" i="26"/>
  <c r="AF175" i="26"/>
  <c r="AG175" i="26"/>
  <c r="AH175" i="26"/>
  <c r="AI175" i="26"/>
  <c r="AJ175" i="26"/>
  <c r="AK175" i="26"/>
  <c r="AL175" i="26"/>
  <c r="AM175" i="26"/>
  <c r="AN175" i="26"/>
  <c r="AO175" i="26"/>
  <c r="AP175" i="26"/>
  <c r="AQ175" i="26"/>
  <c r="AR175" i="26"/>
  <c r="AS175" i="26"/>
  <c r="AT175" i="26"/>
  <c r="AU175" i="26"/>
  <c r="AV175" i="26"/>
  <c r="AW175" i="26"/>
  <c r="AX175" i="26"/>
  <c r="AY175" i="26"/>
  <c r="AZ175" i="26"/>
  <c r="BA175" i="26"/>
  <c r="BB175" i="26"/>
  <c r="BC175" i="26"/>
  <c r="BD175" i="26"/>
  <c r="BE175" i="26"/>
  <c r="BF175" i="26"/>
  <c r="BG175" i="26"/>
  <c r="I176" i="26"/>
  <c r="J176" i="26"/>
  <c r="K176" i="26"/>
  <c r="L176" i="26"/>
  <c r="M176" i="26"/>
  <c r="N176" i="26"/>
  <c r="O176" i="26"/>
  <c r="P176" i="26"/>
  <c r="Q176" i="26"/>
  <c r="R176" i="26"/>
  <c r="S176" i="26"/>
  <c r="T176" i="26"/>
  <c r="U176" i="26"/>
  <c r="V176" i="26"/>
  <c r="W176" i="26"/>
  <c r="X176" i="26"/>
  <c r="Y176" i="26"/>
  <c r="Z176" i="26"/>
  <c r="AA176" i="26"/>
  <c r="AB176" i="26"/>
  <c r="AC176" i="26"/>
  <c r="AD176" i="26"/>
  <c r="AE176" i="26"/>
  <c r="AF176" i="26"/>
  <c r="AG176" i="26"/>
  <c r="AH176" i="26"/>
  <c r="AI176" i="26"/>
  <c r="AJ176" i="26"/>
  <c r="AK176" i="26"/>
  <c r="AL176" i="26"/>
  <c r="AM176" i="26"/>
  <c r="AN176" i="26"/>
  <c r="AO176" i="26"/>
  <c r="AP176" i="26"/>
  <c r="AQ176" i="26"/>
  <c r="AR176" i="26"/>
  <c r="AS176" i="26"/>
  <c r="AT176" i="26"/>
  <c r="AU176" i="26"/>
  <c r="AV176" i="26"/>
  <c r="AW176" i="26"/>
  <c r="AX176" i="26"/>
  <c r="AY176" i="26"/>
  <c r="AZ176" i="26"/>
  <c r="BA176" i="26"/>
  <c r="BB176" i="26"/>
  <c r="BC176" i="26"/>
  <c r="BD176" i="26"/>
  <c r="BE176" i="26"/>
  <c r="BF176" i="26"/>
  <c r="BG176" i="26"/>
  <c r="I177" i="26"/>
  <c r="J177" i="26"/>
  <c r="K177" i="26"/>
  <c r="L177" i="26"/>
  <c r="M177" i="26"/>
  <c r="N177" i="26"/>
  <c r="O177" i="26"/>
  <c r="P177" i="26"/>
  <c r="Q177" i="26"/>
  <c r="R177" i="26"/>
  <c r="S177" i="26"/>
  <c r="T177" i="26"/>
  <c r="U177" i="26"/>
  <c r="V177" i="26"/>
  <c r="W177" i="26"/>
  <c r="X177" i="26"/>
  <c r="Y177" i="26"/>
  <c r="Z177" i="26"/>
  <c r="AA177" i="26"/>
  <c r="AB177" i="26"/>
  <c r="AC177" i="26"/>
  <c r="AD177" i="26"/>
  <c r="AE177" i="26"/>
  <c r="AF177" i="26"/>
  <c r="AG177" i="26"/>
  <c r="AH177" i="26"/>
  <c r="AI177" i="26"/>
  <c r="AJ177" i="26"/>
  <c r="AK177" i="26"/>
  <c r="AL177" i="26"/>
  <c r="AM177" i="26"/>
  <c r="AN177" i="26"/>
  <c r="AO177" i="26"/>
  <c r="AP177" i="26"/>
  <c r="AQ177" i="26"/>
  <c r="AR177" i="26"/>
  <c r="AS177" i="26"/>
  <c r="AT177" i="26"/>
  <c r="AU177" i="26"/>
  <c r="AV177" i="26"/>
  <c r="AW177" i="26"/>
  <c r="AX177" i="26"/>
  <c r="AY177" i="26"/>
  <c r="AZ177" i="26"/>
  <c r="BA177" i="26"/>
  <c r="BB177" i="26"/>
  <c r="BC177" i="26"/>
  <c r="BD177" i="26"/>
  <c r="BE177" i="26"/>
  <c r="BF177" i="26"/>
  <c r="BG177" i="26"/>
  <c r="I178" i="26"/>
  <c r="J178" i="26"/>
  <c r="K178" i="26"/>
  <c r="L178" i="26"/>
  <c r="M178" i="26"/>
  <c r="N178" i="26"/>
  <c r="O178" i="26"/>
  <c r="P178" i="26"/>
  <c r="Q178" i="26"/>
  <c r="R178" i="26"/>
  <c r="S178" i="26"/>
  <c r="T178" i="26"/>
  <c r="U178" i="26"/>
  <c r="V178" i="26"/>
  <c r="W178" i="26"/>
  <c r="X178" i="26"/>
  <c r="Y178" i="26"/>
  <c r="Z178" i="26"/>
  <c r="AA178" i="26"/>
  <c r="AB178" i="26"/>
  <c r="AC178" i="26"/>
  <c r="AD178" i="26"/>
  <c r="AE178" i="26"/>
  <c r="AF178" i="26"/>
  <c r="AG178" i="26"/>
  <c r="AH178" i="26"/>
  <c r="AI178" i="26"/>
  <c r="AJ178" i="26"/>
  <c r="AK178" i="26"/>
  <c r="AL178" i="26"/>
  <c r="AM178" i="26"/>
  <c r="AN178" i="26"/>
  <c r="AO178" i="26"/>
  <c r="AP178" i="26"/>
  <c r="AQ178" i="26"/>
  <c r="AR178" i="26"/>
  <c r="AS178" i="26"/>
  <c r="AT178" i="26"/>
  <c r="AU178" i="26"/>
  <c r="AV178" i="26"/>
  <c r="AW178" i="26"/>
  <c r="AX178" i="26"/>
  <c r="AY178" i="26"/>
  <c r="AZ178" i="26"/>
  <c r="BA178" i="26"/>
  <c r="BB178" i="26"/>
  <c r="BC178" i="26"/>
  <c r="BD178" i="26"/>
  <c r="BE178" i="26"/>
  <c r="BF178" i="26"/>
  <c r="BG178" i="26"/>
  <c r="I179" i="26"/>
  <c r="J179" i="26"/>
  <c r="K179" i="26"/>
  <c r="L179" i="26"/>
  <c r="M179" i="26"/>
  <c r="N179" i="26"/>
  <c r="O179" i="26"/>
  <c r="P179" i="26"/>
  <c r="Q179" i="26"/>
  <c r="R179" i="26"/>
  <c r="S179" i="26"/>
  <c r="T179" i="26"/>
  <c r="U179" i="26"/>
  <c r="V179" i="26"/>
  <c r="W179" i="26"/>
  <c r="X179" i="26"/>
  <c r="Y179" i="26"/>
  <c r="Z179" i="26"/>
  <c r="AA179" i="26"/>
  <c r="AB179" i="26"/>
  <c r="AC179" i="26"/>
  <c r="AD179" i="26"/>
  <c r="AE179" i="26"/>
  <c r="AF179" i="26"/>
  <c r="AG179" i="26"/>
  <c r="AH179" i="26"/>
  <c r="AI179" i="26"/>
  <c r="AJ179" i="26"/>
  <c r="AK179" i="26"/>
  <c r="AL179" i="26"/>
  <c r="AM179" i="26"/>
  <c r="AN179" i="26"/>
  <c r="AO179" i="26"/>
  <c r="AP179" i="26"/>
  <c r="AQ179" i="26"/>
  <c r="AR179" i="26"/>
  <c r="AS179" i="26"/>
  <c r="AT179" i="26"/>
  <c r="AU179" i="26"/>
  <c r="AV179" i="26"/>
  <c r="AW179" i="26"/>
  <c r="AX179" i="26"/>
  <c r="AY179" i="26"/>
  <c r="AZ179" i="26"/>
  <c r="BA179" i="26"/>
  <c r="BB179" i="26"/>
  <c r="BC179" i="26"/>
  <c r="BD179" i="26"/>
  <c r="BE179" i="26"/>
  <c r="BF179" i="26"/>
  <c r="BG179" i="26"/>
  <c r="I180" i="26"/>
  <c r="J180" i="26"/>
  <c r="K180" i="26"/>
  <c r="L180" i="26"/>
  <c r="M180" i="26"/>
  <c r="N180" i="26"/>
  <c r="O180" i="26"/>
  <c r="P180" i="26"/>
  <c r="Q180" i="26"/>
  <c r="R180" i="26"/>
  <c r="S180" i="26"/>
  <c r="T180" i="26"/>
  <c r="U180" i="26"/>
  <c r="V180" i="26"/>
  <c r="W180" i="26"/>
  <c r="X180" i="26"/>
  <c r="Y180" i="26"/>
  <c r="Z180" i="26"/>
  <c r="AA180" i="26"/>
  <c r="AB180" i="26"/>
  <c r="AC180" i="26"/>
  <c r="AD180" i="26"/>
  <c r="AE180" i="26"/>
  <c r="AF180" i="26"/>
  <c r="AG180" i="26"/>
  <c r="AH180" i="26"/>
  <c r="AI180" i="26"/>
  <c r="AJ180" i="26"/>
  <c r="AK180" i="26"/>
  <c r="AL180" i="26"/>
  <c r="AM180" i="26"/>
  <c r="AN180" i="26"/>
  <c r="AO180" i="26"/>
  <c r="AP180" i="26"/>
  <c r="AQ180" i="26"/>
  <c r="AR180" i="26"/>
  <c r="AS180" i="26"/>
  <c r="AT180" i="26"/>
  <c r="AU180" i="26"/>
  <c r="AV180" i="26"/>
  <c r="AW180" i="26"/>
  <c r="AX180" i="26"/>
  <c r="AY180" i="26"/>
  <c r="AZ180" i="26"/>
  <c r="BA180" i="26"/>
  <c r="BB180" i="26"/>
  <c r="BC180" i="26"/>
  <c r="BD180" i="26"/>
  <c r="BE180" i="26"/>
  <c r="BF180" i="26"/>
  <c r="BG180" i="26"/>
  <c r="I181" i="26"/>
  <c r="J181" i="26"/>
  <c r="K181" i="26"/>
  <c r="L181" i="26"/>
  <c r="M181" i="26"/>
  <c r="N181" i="26"/>
  <c r="O181" i="26"/>
  <c r="P181" i="26"/>
  <c r="Q181" i="26"/>
  <c r="R181" i="26"/>
  <c r="S181" i="26"/>
  <c r="T181" i="26"/>
  <c r="U181" i="26"/>
  <c r="V181" i="26"/>
  <c r="W181" i="26"/>
  <c r="X181" i="26"/>
  <c r="Y181" i="26"/>
  <c r="Z181" i="26"/>
  <c r="AA181" i="26"/>
  <c r="AB181" i="26"/>
  <c r="AC181" i="26"/>
  <c r="AD181" i="26"/>
  <c r="AE181" i="26"/>
  <c r="AF181" i="26"/>
  <c r="AG181" i="26"/>
  <c r="AH181" i="26"/>
  <c r="AI181" i="26"/>
  <c r="AJ181" i="26"/>
  <c r="AK181" i="26"/>
  <c r="AL181" i="26"/>
  <c r="AM181" i="26"/>
  <c r="AN181" i="26"/>
  <c r="AO181" i="26"/>
  <c r="AP181" i="26"/>
  <c r="AQ181" i="26"/>
  <c r="AR181" i="26"/>
  <c r="AS181" i="26"/>
  <c r="AT181" i="26"/>
  <c r="AU181" i="26"/>
  <c r="AV181" i="26"/>
  <c r="AW181" i="26"/>
  <c r="AX181" i="26"/>
  <c r="AY181" i="26"/>
  <c r="AZ181" i="26"/>
  <c r="BA181" i="26"/>
  <c r="BB181" i="26"/>
  <c r="BC181" i="26"/>
  <c r="BD181" i="26"/>
  <c r="BE181" i="26"/>
  <c r="BF181" i="26"/>
  <c r="BG181" i="26"/>
  <c r="I182" i="26"/>
  <c r="J182" i="26"/>
  <c r="K182" i="26"/>
  <c r="L182" i="26"/>
  <c r="M182" i="26"/>
  <c r="N182" i="26"/>
  <c r="O182" i="26"/>
  <c r="P182" i="26"/>
  <c r="Q182" i="26"/>
  <c r="R182" i="26"/>
  <c r="S182" i="26"/>
  <c r="T182" i="26"/>
  <c r="U182" i="26"/>
  <c r="V182" i="26"/>
  <c r="W182" i="26"/>
  <c r="X182" i="26"/>
  <c r="Y182" i="26"/>
  <c r="Z182" i="26"/>
  <c r="AA182" i="26"/>
  <c r="AB182" i="26"/>
  <c r="AC182" i="26"/>
  <c r="AD182" i="26"/>
  <c r="AE182" i="26"/>
  <c r="AF182" i="26"/>
  <c r="AG182" i="26"/>
  <c r="AH182" i="26"/>
  <c r="AI182" i="26"/>
  <c r="AJ182" i="26"/>
  <c r="AK182" i="26"/>
  <c r="AL182" i="26"/>
  <c r="AM182" i="26"/>
  <c r="AN182" i="26"/>
  <c r="AO182" i="26"/>
  <c r="AP182" i="26"/>
  <c r="AQ182" i="26"/>
  <c r="AR182" i="26"/>
  <c r="AS182" i="26"/>
  <c r="AT182" i="26"/>
  <c r="AU182" i="26"/>
  <c r="AV182" i="26"/>
  <c r="AW182" i="26"/>
  <c r="AX182" i="26"/>
  <c r="AY182" i="26"/>
  <c r="AZ182" i="26"/>
  <c r="BA182" i="26"/>
  <c r="BB182" i="26"/>
  <c r="BC182" i="26"/>
  <c r="BD182" i="26"/>
  <c r="BE182" i="26"/>
  <c r="BF182" i="26"/>
  <c r="BG182" i="26"/>
  <c r="I183" i="26"/>
  <c r="J183" i="26"/>
  <c r="K183" i="26"/>
  <c r="L183" i="26"/>
  <c r="M183" i="26"/>
  <c r="N183" i="26"/>
  <c r="O183" i="26"/>
  <c r="P183" i="26"/>
  <c r="Q183" i="26"/>
  <c r="R183" i="26"/>
  <c r="S183" i="26"/>
  <c r="T183" i="26"/>
  <c r="U183" i="26"/>
  <c r="V183" i="26"/>
  <c r="W183" i="26"/>
  <c r="X183" i="26"/>
  <c r="Y183" i="26"/>
  <c r="Z183" i="26"/>
  <c r="AA183" i="26"/>
  <c r="AB183" i="26"/>
  <c r="AC183" i="26"/>
  <c r="AD183" i="26"/>
  <c r="AE183" i="26"/>
  <c r="AF183" i="26"/>
  <c r="AG183" i="26"/>
  <c r="AH183" i="26"/>
  <c r="AI183" i="26"/>
  <c r="AJ183" i="26"/>
  <c r="AK183" i="26"/>
  <c r="AL183" i="26"/>
  <c r="AM183" i="26"/>
  <c r="AN183" i="26"/>
  <c r="AO183" i="26"/>
  <c r="AP183" i="26"/>
  <c r="AQ183" i="26"/>
  <c r="AR183" i="26"/>
  <c r="AS183" i="26"/>
  <c r="AT183" i="26"/>
  <c r="AU183" i="26"/>
  <c r="AV183" i="26"/>
  <c r="AW183" i="26"/>
  <c r="AX183" i="26"/>
  <c r="AY183" i="26"/>
  <c r="AZ183" i="26"/>
  <c r="BA183" i="26"/>
  <c r="BB183" i="26"/>
  <c r="BC183" i="26"/>
  <c r="BD183" i="26"/>
  <c r="BE183" i="26"/>
  <c r="BF183" i="26"/>
  <c r="BG183" i="26"/>
  <c r="I184" i="26"/>
  <c r="J184" i="26"/>
  <c r="K184" i="26"/>
  <c r="L184" i="26"/>
  <c r="M184" i="26"/>
  <c r="N184" i="26"/>
  <c r="O184" i="26"/>
  <c r="P184" i="26"/>
  <c r="Q184" i="26"/>
  <c r="R184" i="26"/>
  <c r="S184" i="26"/>
  <c r="T184" i="26"/>
  <c r="U184" i="26"/>
  <c r="V184" i="26"/>
  <c r="W184" i="26"/>
  <c r="X184" i="26"/>
  <c r="Y184" i="26"/>
  <c r="Z184" i="26"/>
  <c r="AA184" i="26"/>
  <c r="AB184" i="26"/>
  <c r="AC184" i="26"/>
  <c r="AD184" i="26"/>
  <c r="AE184" i="26"/>
  <c r="AF184" i="26"/>
  <c r="AG184" i="26"/>
  <c r="AH184" i="26"/>
  <c r="AI184" i="26"/>
  <c r="AJ184" i="26"/>
  <c r="AK184" i="26"/>
  <c r="AL184" i="26"/>
  <c r="AM184" i="26"/>
  <c r="AN184" i="26"/>
  <c r="AO184" i="26"/>
  <c r="AP184" i="26"/>
  <c r="AQ184" i="26"/>
  <c r="AR184" i="26"/>
  <c r="AS184" i="26"/>
  <c r="AT184" i="26"/>
  <c r="AU184" i="26"/>
  <c r="AV184" i="26"/>
  <c r="AW184" i="26"/>
  <c r="AX184" i="26"/>
  <c r="AY184" i="26"/>
  <c r="AZ184" i="26"/>
  <c r="BA184" i="26"/>
  <c r="BB184" i="26"/>
  <c r="BC184" i="26"/>
  <c r="BD184" i="26"/>
  <c r="BE184" i="26"/>
  <c r="BF184" i="26"/>
  <c r="BG184" i="26"/>
  <c r="I185" i="26"/>
  <c r="J185" i="26"/>
  <c r="K185" i="26"/>
  <c r="L185" i="26"/>
  <c r="M185" i="26"/>
  <c r="N185" i="26"/>
  <c r="O185" i="26"/>
  <c r="P185" i="26"/>
  <c r="Q185" i="26"/>
  <c r="R185" i="26"/>
  <c r="S185" i="26"/>
  <c r="T185" i="26"/>
  <c r="U185" i="26"/>
  <c r="V185" i="26"/>
  <c r="W185" i="26"/>
  <c r="X185" i="26"/>
  <c r="Y185" i="26"/>
  <c r="Z185" i="26"/>
  <c r="AA185" i="26"/>
  <c r="AB185" i="26"/>
  <c r="AC185" i="26"/>
  <c r="AD185" i="26"/>
  <c r="AE185" i="26"/>
  <c r="AF185" i="26"/>
  <c r="AG185" i="26"/>
  <c r="AH185" i="26"/>
  <c r="AI185" i="26"/>
  <c r="AJ185" i="26"/>
  <c r="AK185" i="26"/>
  <c r="AL185" i="26"/>
  <c r="AM185" i="26"/>
  <c r="AN185" i="26"/>
  <c r="AO185" i="26"/>
  <c r="AP185" i="26"/>
  <c r="AQ185" i="26"/>
  <c r="AR185" i="26"/>
  <c r="AS185" i="26"/>
  <c r="AT185" i="26"/>
  <c r="AU185" i="26"/>
  <c r="AV185" i="26"/>
  <c r="AW185" i="26"/>
  <c r="AX185" i="26"/>
  <c r="AY185" i="26"/>
  <c r="AZ185" i="26"/>
  <c r="BA185" i="26"/>
  <c r="BB185" i="26"/>
  <c r="BC185" i="26"/>
  <c r="BD185" i="26"/>
  <c r="BE185" i="26"/>
  <c r="BF185" i="26"/>
  <c r="BG185" i="26"/>
  <c r="I186" i="26"/>
  <c r="J186" i="26"/>
  <c r="K186" i="26"/>
  <c r="L186" i="26"/>
  <c r="M186" i="26"/>
  <c r="N186" i="26"/>
  <c r="O186" i="26"/>
  <c r="P186" i="26"/>
  <c r="Q186" i="26"/>
  <c r="R186" i="26"/>
  <c r="S186" i="26"/>
  <c r="T186" i="26"/>
  <c r="U186" i="26"/>
  <c r="V186" i="26"/>
  <c r="W186" i="26"/>
  <c r="X186" i="26"/>
  <c r="Y186" i="26"/>
  <c r="Z186" i="26"/>
  <c r="AA186" i="26"/>
  <c r="AB186" i="26"/>
  <c r="AC186" i="26"/>
  <c r="AD186" i="26"/>
  <c r="AE186" i="26"/>
  <c r="AF186" i="26"/>
  <c r="AG186" i="26"/>
  <c r="AH186" i="26"/>
  <c r="AI186" i="26"/>
  <c r="AJ186" i="26"/>
  <c r="AK186" i="26"/>
  <c r="AL186" i="26"/>
  <c r="AM186" i="26"/>
  <c r="AN186" i="26"/>
  <c r="AO186" i="26"/>
  <c r="AP186" i="26"/>
  <c r="AQ186" i="26"/>
  <c r="AR186" i="26"/>
  <c r="AS186" i="26"/>
  <c r="AT186" i="26"/>
  <c r="AU186" i="26"/>
  <c r="AV186" i="26"/>
  <c r="AW186" i="26"/>
  <c r="AX186" i="26"/>
  <c r="AY186" i="26"/>
  <c r="AZ186" i="26"/>
  <c r="BA186" i="26"/>
  <c r="BB186" i="26"/>
  <c r="BC186" i="26"/>
  <c r="BD186" i="26"/>
  <c r="BE186" i="26"/>
  <c r="BF186" i="26"/>
  <c r="BG186" i="26"/>
  <c r="I187" i="26"/>
  <c r="J187" i="26"/>
  <c r="K187" i="26"/>
  <c r="L187" i="26"/>
  <c r="M187" i="26"/>
  <c r="N187" i="26"/>
  <c r="O187" i="26"/>
  <c r="P187" i="26"/>
  <c r="Q187" i="26"/>
  <c r="R187" i="26"/>
  <c r="S187" i="26"/>
  <c r="T187" i="26"/>
  <c r="U187" i="26"/>
  <c r="V187" i="26"/>
  <c r="W187" i="26"/>
  <c r="X187" i="26"/>
  <c r="Y187" i="26"/>
  <c r="Z187" i="26"/>
  <c r="AA187" i="26"/>
  <c r="AB187" i="26"/>
  <c r="AC187" i="26"/>
  <c r="AD187" i="26"/>
  <c r="AE187" i="26"/>
  <c r="AF187" i="26"/>
  <c r="AG187" i="26"/>
  <c r="AH187" i="26"/>
  <c r="AI187" i="26"/>
  <c r="AJ187" i="26"/>
  <c r="AK187" i="26"/>
  <c r="AL187" i="26"/>
  <c r="AM187" i="26"/>
  <c r="AN187" i="26"/>
  <c r="AO187" i="26"/>
  <c r="AP187" i="26"/>
  <c r="AQ187" i="26"/>
  <c r="AR187" i="26"/>
  <c r="AS187" i="26"/>
  <c r="AT187" i="26"/>
  <c r="AU187" i="26"/>
  <c r="AV187" i="26"/>
  <c r="AW187" i="26"/>
  <c r="AX187" i="26"/>
  <c r="AY187" i="26"/>
  <c r="AZ187" i="26"/>
  <c r="BA187" i="26"/>
  <c r="BB187" i="26"/>
  <c r="BC187" i="26"/>
  <c r="BD187" i="26"/>
  <c r="BE187" i="26"/>
  <c r="BF187" i="26"/>
  <c r="BG187" i="26"/>
  <c r="I188" i="26"/>
  <c r="J188" i="26"/>
  <c r="K188" i="26"/>
  <c r="L188" i="26"/>
  <c r="M188" i="26"/>
  <c r="N188" i="26"/>
  <c r="O188" i="26"/>
  <c r="P188" i="26"/>
  <c r="Q188" i="26"/>
  <c r="R188" i="26"/>
  <c r="S188" i="26"/>
  <c r="T188" i="26"/>
  <c r="U188" i="26"/>
  <c r="V188" i="26"/>
  <c r="W188" i="26"/>
  <c r="X188" i="26"/>
  <c r="Y188" i="26"/>
  <c r="Z188" i="26"/>
  <c r="AA188" i="26"/>
  <c r="AB188" i="26"/>
  <c r="AC188" i="26"/>
  <c r="AD188" i="26"/>
  <c r="AE188" i="26"/>
  <c r="AF188" i="26"/>
  <c r="AG188" i="26"/>
  <c r="AH188" i="26"/>
  <c r="AI188" i="26"/>
  <c r="AJ188" i="26"/>
  <c r="AK188" i="26"/>
  <c r="AL188" i="26"/>
  <c r="AM188" i="26"/>
  <c r="AN188" i="26"/>
  <c r="AO188" i="26"/>
  <c r="AP188" i="26"/>
  <c r="AQ188" i="26"/>
  <c r="AR188" i="26"/>
  <c r="AS188" i="26"/>
  <c r="AT188" i="26"/>
  <c r="AU188" i="26"/>
  <c r="AV188" i="26"/>
  <c r="AW188" i="26"/>
  <c r="AX188" i="26"/>
  <c r="AY188" i="26"/>
  <c r="AZ188" i="26"/>
  <c r="BA188" i="26"/>
  <c r="BB188" i="26"/>
  <c r="BC188" i="26"/>
  <c r="BD188" i="26"/>
  <c r="BE188" i="26"/>
  <c r="BF188" i="26"/>
  <c r="BG188" i="26"/>
  <c r="I189" i="26"/>
  <c r="J189" i="26"/>
  <c r="K189" i="26"/>
  <c r="L189" i="26"/>
  <c r="M189" i="26"/>
  <c r="N189" i="26"/>
  <c r="O189" i="26"/>
  <c r="P189" i="26"/>
  <c r="Q189" i="26"/>
  <c r="R189" i="26"/>
  <c r="S189" i="26"/>
  <c r="T189" i="26"/>
  <c r="U189" i="26"/>
  <c r="V189" i="26"/>
  <c r="W189" i="26"/>
  <c r="X189" i="26"/>
  <c r="Y189" i="26"/>
  <c r="Z189" i="26"/>
  <c r="AA189" i="26"/>
  <c r="AB189" i="26"/>
  <c r="AC189" i="26"/>
  <c r="AD189" i="26"/>
  <c r="AE189" i="26"/>
  <c r="AF189" i="26"/>
  <c r="AG189" i="26"/>
  <c r="AH189" i="26"/>
  <c r="AI189" i="26"/>
  <c r="AJ189" i="26"/>
  <c r="AK189" i="26"/>
  <c r="AL189" i="26"/>
  <c r="AM189" i="26"/>
  <c r="AN189" i="26"/>
  <c r="AO189" i="26"/>
  <c r="AP189" i="26"/>
  <c r="AQ189" i="26"/>
  <c r="AR189" i="26"/>
  <c r="AS189" i="26"/>
  <c r="AT189" i="26"/>
  <c r="AU189" i="26"/>
  <c r="AV189" i="26"/>
  <c r="AW189" i="26"/>
  <c r="AX189" i="26"/>
  <c r="AY189" i="26"/>
  <c r="AZ189" i="26"/>
  <c r="BA189" i="26"/>
  <c r="BB189" i="26"/>
  <c r="BC189" i="26"/>
  <c r="BD189" i="26"/>
  <c r="BE189" i="26"/>
  <c r="BF189" i="26"/>
  <c r="BG189" i="26"/>
  <c r="I190" i="26"/>
  <c r="J190" i="26"/>
  <c r="K190" i="26"/>
  <c r="L190" i="26"/>
  <c r="M190" i="26"/>
  <c r="N190" i="26"/>
  <c r="O190" i="26"/>
  <c r="P190" i="26"/>
  <c r="Q190" i="26"/>
  <c r="R190" i="26"/>
  <c r="S190" i="26"/>
  <c r="T190" i="26"/>
  <c r="U190" i="26"/>
  <c r="V190" i="26"/>
  <c r="W190" i="26"/>
  <c r="X190" i="26"/>
  <c r="Y190" i="26"/>
  <c r="Z190" i="26"/>
  <c r="AA190" i="26"/>
  <c r="AB190" i="26"/>
  <c r="AC190" i="26"/>
  <c r="AD190" i="26"/>
  <c r="AE190" i="26"/>
  <c r="AF190" i="26"/>
  <c r="AG190" i="26"/>
  <c r="AH190" i="26"/>
  <c r="AI190" i="26"/>
  <c r="AJ190" i="26"/>
  <c r="AK190" i="26"/>
  <c r="AL190" i="26"/>
  <c r="AM190" i="26"/>
  <c r="AN190" i="26"/>
  <c r="AO190" i="26"/>
  <c r="AP190" i="26"/>
  <c r="AQ190" i="26"/>
  <c r="AR190" i="26"/>
  <c r="AS190" i="26"/>
  <c r="AT190" i="26"/>
  <c r="AU190" i="26"/>
  <c r="AV190" i="26"/>
  <c r="AW190" i="26"/>
  <c r="AX190" i="26"/>
  <c r="AY190" i="26"/>
  <c r="AZ190" i="26"/>
  <c r="BA190" i="26"/>
  <c r="BB190" i="26"/>
  <c r="BC190" i="26"/>
  <c r="BD190" i="26"/>
  <c r="BE190" i="26"/>
  <c r="BF190" i="26"/>
  <c r="BG190" i="26"/>
  <c r="I191" i="26"/>
  <c r="J191" i="26"/>
  <c r="K191" i="26"/>
  <c r="L191" i="26"/>
  <c r="M191" i="26"/>
  <c r="N191" i="26"/>
  <c r="O191" i="26"/>
  <c r="P191" i="26"/>
  <c r="Q191" i="26"/>
  <c r="R191" i="26"/>
  <c r="S191" i="26"/>
  <c r="T191" i="26"/>
  <c r="U191" i="26"/>
  <c r="V191" i="26"/>
  <c r="W191" i="26"/>
  <c r="X191" i="26"/>
  <c r="Y191" i="26"/>
  <c r="Z191" i="26"/>
  <c r="AA191" i="26"/>
  <c r="AB191" i="26"/>
  <c r="AC191" i="26"/>
  <c r="AD191" i="26"/>
  <c r="AE191" i="26"/>
  <c r="AF191" i="26"/>
  <c r="AG191" i="26"/>
  <c r="AH191" i="26"/>
  <c r="AI191" i="26"/>
  <c r="AJ191" i="26"/>
  <c r="AK191" i="26"/>
  <c r="AL191" i="26"/>
  <c r="AM191" i="26"/>
  <c r="AN191" i="26"/>
  <c r="AO191" i="26"/>
  <c r="AP191" i="26"/>
  <c r="AQ191" i="26"/>
  <c r="AR191" i="26"/>
  <c r="AS191" i="26"/>
  <c r="AT191" i="26"/>
  <c r="AU191" i="26"/>
  <c r="AV191" i="26"/>
  <c r="AW191" i="26"/>
  <c r="AX191" i="26"/>
  <c r="AY191" i="26"/>
  <c r="AZ191" i="26"/>
  <c r="BA191" i="26"/>
  <c r="BB191" i="26"/>
  <c r="BC191" i="26"/>
  <c r="BD191" i="26"/>
  <c r="BE191" i="26"/>
  <c r="BF191" i="26"/>
  <c r="BG191" i="26"/>
  <c r="I192" i="26"/>
  <c r="J192" i="26"/>
  <c r="K192" i="26"/>
  <c r="L192" i="26"/>
  <c r="M192" i="26"/>
  <c r="N192" i="26"/>
  <c r="O192" i="26"/>
  <c r="P192" i="26"/>
  <c r="Q192" i="26"/>
  <c r="R192" i="26"/>
  <c r="S192" i="26"/>
  <c r="T192" i="26"/>
  <c r="U192" i="26"/>
  <c r="V192" i="26"/>
  <c r="W192" i="26"/>
  <c r="X192" i="26"/>
  <c r="Y192" i="26"/>
  <c r="Z192" i="26"/>
  <c r="AA192" i="26"/>
  <c r="AB192" i="26"/>
  <c r="AC192" i="26"/>
  <c r="AD192" i="26"/>
  <c r="AE192" i="26"/>
  <c r="AF192" i="26"/>
  <c r="AG192" i="26"/>
  <c r="AH192" i="26"/>
  <c r="AI192" i="26"/>
  <c r="AJ192" i="26"/>
  <c r="AK192" i="26"/>
  <c r="AL192" i="26"/>
  <c r="AM192" i="26"/>
  <c r="AN192" i="26"/>
  <c r="AO192" i="26"/>
  <c r="AP192" i="26"/>
  <c r="AQ192" i="26"/>
  <c r="AR192" i="26"/>
  <c r="AS192" i="26"/>
  <c r="AT192" i="26"/>
  <c r="AU192" i="26"/>
  <c r="AV192" i="26"/>
  <c r="AW192" i="26"/>
  <c r="AX192" i="26"/>
  <c r="AY192" i="26"/>
  <c r="AZ192" i="26"/>
  <c r="BA192" i="26"/>
  <c r="BB192" i="26"/>
  <c r="BC192" i="26"/>
  <c r="BD192" i="26"/>
  <c r="BE192" i="26"/>
  <c r="BF192" i="26"/>
  <c r="BG192" i="26"/>
  <c r="I193" i="26"/>
  <c r="J193" i="26"/>
  <c r="K193" i="26"/>
  <c r="L193" i="26"/>
  <c r="M193" i="26"/>
  <c r="N193" i="26"/>
  <c r="O193" i="26"/>
  <c r="P193" i="26"/>
  <c r="Q193" i="26"/>
  <c r="R193" i="26"/>
  <c r="S193" i="26"/>
  <c r="T193" i="26"/>
  <c r="U193" i="26"/>
  <c r="V193" i="26"/>
  <c r="W193" i="26"/>
  <c r="X193" i="26"/>
  <c r="Y193" i="26"/>
  <c r="Z193" i="26"/>
  <c r="AA193" i="26"/>
  <c r="AB193" i="26"/>
  <c r="AC193" i="26"/>
  <c r="AD193" i="26"/>
  <c r="AE193" i="26"/>
  <c r="AF193" i="26"/>
  <c r="AG193" i="26"/>
  <c r="AH193" i="26"/>
  <c r="AI193" i="26"/>
  <c r="AJ193" i="26"/>
  <c r="AK193" i="26"/>
  <c r="AL193" i="26"/>
  <c r="AM193" i="26"/>
  <c r="AN193" i="26"/>
  <c r="AO193" i="26"/>
  <c r="AP193" i="26"/>
  <c r="AQ193" i="26"/>
  <c r="AR193" i="26"/>
  <c r="AS193" i="26"/>
  <c r="AT193" i="26"/>
  <c r="AU193" i="26"/>
  <c r="AV193" i="26"/>
  <c r="AW193" i="26"/>
  <c r="AX193" i="26"/>
  <c r="AY193" i="26"/>
  <c r="AZ193" i="26"/>
  <c r="BA193" i="26"/>
  <c r="BB193" i="26"/>
  <c r="BC193" i="26"/>
  <c r="BD193" i="26"/>
  <c r="BE193" i="26"/>
  <c r="BF193" i="26"/>
  <c r="BG193" i="26"/>
  <c r="I194" i="26"/>
  <c r="J194" i="26"/>
  <c r="K194" i="26"/>
  <c r="L194" i="26"/>
  <c r="M194" i="26"/>
  <c r="N194" i="26"/>
  <c r="O194" i="26"/>
  <c r="P194" i="26"/>
  <c r="Q194" i="26"/>
  <c r="R194" i="26"/>
  <c r="S194" i="26"/>
  <c r="T194" i="26"/>
  <c r="U194" i="26"/>
  <c r="V194" i="26"/>
  <c r="W194" i="26"/>
  <c r="X194" i="26"/>
  <c r="Y194" i="26"/>
  <c r="Z194" i="26"/>
  <c r="AA194" i="26"/>
  <c r="AB194" i="26"/>
  <c r="AC194" i="26"/>
  <c r="AD194" i="26"/>
  <c r="AE194" i="26"/>
  <c r="AF194" i="26"/>
  <c r="AG194" i="26"/>
  <c r="AH194" i="26"/>
  <c r="AI194" i="26"/>
  <c r="AJ194" i="26"/>
  <c r="AK194" i="26"/>
  <c r="AL194" i="26"/>
  <c r="AM194" i="26"/>
  <c r="AN194" i="26"/>
  <c r="AO194" i="26"/>
  <c r="AP194" i="26"/>
  <c r="AQ194" i="26"/>
  <c r="AR194" i="26"/>
  <c r="AS194" i="26"/>
  <c r="AT194" i="26"/>
  <c r="AU194" i="26"/>
  <c r="AV194" i="26"/>
  <c r="AW194" i="26"/>
  <c r="AX194" i="26"/>
  <c r="AY194" i="26"/>
  <c r="AZ194" i="26"/>
  <c r="BA194" i="26"/>
  <c r="BB194" i="26"/>
  <c r="BC194" i="26"/>
  <c r="BD194" i="26"/>
  <c r="BE194" i="26"/>
  <c r="BF194" i="26"/>
  <c r="BG194" i="26"/>
  <c r="I195" i="26"/>
  <c r="J195" i="26"/>
  <c r="K195" i="26"/>
  <c r="L195" i="26"/>
  <c r="M195" i="26"/>
  <c r="N195" i="26"/>
  <c r="O195" i="26"/>
  <c r="P195" i="26"/>
  <c r="Q195" i="26"/>
  <c r="R195" i="26"/>
  <c r="S195" i="26"/>
  <c r="T195" i="26"/>
  <c r="U195" i="26"/>
  <c r="V195" i="26"/>
  <c r="W195" i="26"/>
  <c r="X195" i="26"/>
  <c r="Y195" i="26"/>
  <c r="Z195" i="26"/>
  <c r="AA195" i="26"/>
  <c r="AB195" i="26"/>
  <c r="AC195" i="26"/>
  <c r="AD195" i="26"/>
  <c r="AE195" i="26"/>
  <c r="AF195" i="26"/>
  <c r="AG195" i="26"/>
  <c r="AH195" i="26"/>
  <c r="AI195" i="26"/>
  <c r="AJ195" i="26"/>
  <c r="AK195" i="26"/>
  <c r="AL195" i="26"/>
  <c r="AM195" i="26"/>
  <c r="AN195" i="26"/>
  <c r="AO195" i="26"/>
  <c r="AP195" i="26"/>
  <c r="AQ195" i="26"/>
  <c r="AR195" i="26"/>
  <c r="AS195" i="26"/>
  <c r="AT195" i="26"/>
  <c r="AU195" i="26"/>
  <c r="AV195" i="26"/>
  <c r="AW195" i="26"/>
  <c r="AX195" i="26"/>
  <c r="AY195" i="26"/>
  <c r="AZ195" i="26"/>
  <c r="BA195" i="26"/>
  <c r="BB195" i="26"/>
  <c r="BC195" i="26"/>
  <c r="BD195" i="26"/>
  <c r="BE195" i="26"/>
  <c r="BF195" i="26"/>
  <c r="BG195" i="26"/>
  <c r="I196" i="26"/>
  <c r="J196" i="26"/>
  <c r="K196" i="26"/>
  <c r="L196" i="26"/>
  <c r="M196" i="26"/>
  <c r="N196" i="26"/>
  <c r="O196" i="26"/>
  <c r="P196" i="26"/>
  <c r="Q196" i="26"/>
  <c r="R196" i="26"/>
  <c r="S196" i="26"/>
  <c r="T196" i="26"/>
  <c r="U196" i="26"/>
  <c r="V196" i="26"/>
  <c r="W196" i="26"/>
  <c r="X196" i="26"/>
  <c r="Y196" i="26"/>
  <c r="Z196" i="26"/>
  <c r="AA196" i="26"/>
  <c r="AB196" i="26"/>
  <c r="AC196" i="26"/>
  <c r="AD196" i="26"/>
  <c r="AE196" i="26"/>
  <c r="AF196" i="26"/>
  <c r="AG196" i="26"/>
  <c r="AH196" i="26"/>
  <c r="AI196" i="26"/>
  <c r="AJ196" i="26"/>
  <c r="AK196" i="26"/>
  <c r="AL196" i="26"/>
  <c r="AM196" i="26"/>
  <c r="AN196" i="26"/>
  <c r="AO196" i="26"/>
  <c r="AP196" i="26"/>
  <c r="AQ196" i="26"/>
  <c r="AR196" i="26"/>
  <c r="AS196" i="26"/>
  <c r="AT196" i="26"/>
  <c r="AU196" i="26"/>
  <c r="AV196" i="26"/>
  <c r="AW196" i="26"/>
  <c r="AX196" i="26"/>
  <c r="AY196" i="26"/>
  <c r="AZ196" i="26"/>
  <c r="BA196" i="26"/>
  <c r="BB196" i="26"/>
  <c r="BC196" i="26"/>
  <c r="BD196" i="26"/>
  <c r="BE196" i="26"/>
  <c r="BF196" i="26"/>
  <c r="BG196" i="26"/>
  <c r="I197" i="26"/>
  <c r="J197" i="26"/>
  <c r="K197" i="26"/>
  <c r="L197" i="26"/>
  <c r="M197" i="26"/>
  <c r="N197" i="26"/>
  <c r="O197" i="26"/>
  <c r="P197" i="26"/>
  <c r="Q197" i="26"/>
  <c r="R197" i="26"/>
  <c r="S197" i="26"/>
  <c r="T197" i="26"/>
  <c r="U197" i="26"/>
  <c r="V197" i="26"/>
  <c r="W197" i="26"/>
  <c r="X197" i="26"/>
  <c r="Y197" i="26"/>
  <c r="Z197" i="26"/>
  <c r="AA197" i="26"/>
  <c r="AB197" i="26"/>
  <c r="AC197" i="26"/>
  <c r="AD197" i="26"/>
  <c r="AE197" i="26"/>
  <c r="AF197" i="26"/>
  <c r="AG197" i="26"/>
  <c r="AH197" i="26"/>
  <c r="AI197" i="26"/>
  <c r="AJ197" i="26"/>
  <c r="AK197" i="26"/>
  <c r="AL197" i="26"/>
  <c r="AM197" i="26"/>
  <c r="AN197" i="26"/>
  <c r="AO197" i="26"/>
  <c r="AP197" i="26"/>
  <c r="AQ197" i="26"/>
  <c r="AR197" i="26"/>
  <c r="AS197" i="26"/>
  <c r="AT197" i="26"/>
  <c r="AU197" i="26"/>
  <c r="AV197" i="26"/>
  <c r="AW197" i="26"/>
  <c r="AX197" i="26"/>
  <c r="AY197" i="26"/>
  <c r="AZ197" i="26"/>
  <c r="BA197" i="26"/>
  <c r="BB197" i="26"/>
  <c r="BC197" i="26"/>
  <c r="BD197" i="26"/>
  <c r="BE197" i="26"/>
  <c r="BF197" i="26"/>
  <c r="BG197" i="26"/>
  <c r="I198" i="26"/>
  <c r="J198" i="26"/>
  <c r="K198" i="26"/>
  <c r="L198" i="26"/>
  <c r="M198" i="26"/>
  <c r="N198" i="26"/>
  <c r="O198" i="26"/>
  <c r="P198" i="26"/>
  <c r="Q198" i="26"/>
  <c r="R198" i="26"/>
  <c r="S198" i="26"/>
  <c r="T198" i="26"/>
  <c r="U198" i="26"/>
  <c r="V198" i="26"/>
  <c r="W198" i="26"/>
  <c r="X198" i="26"/>
  <c r="Y198" i="26"/>
  <c r="Z198" i="26"/>
  <c r="AA198" i="26"/>
  <c r="AB198" i="26"/>
  <c r="AC198" i="26"/>
  <c r="AD198" i="26"/>
  <c r="AE198" i="26"/>
  <c r="AF198" i="26"/>
  <c r="AG198" i="26"/>
  <c r="AH198" i="26"/>
  <c r="AI198" i="26"/>
  <c r="AJ198" i="26"/>
  <c r="AK198" i="26"/>
  <c r="AL198" i="26"/>
  <c r="AM198" i="26"/>
  <c r="AN198" i="26"/>
  <c r="AO198" i="26"/>
  <c r="AP198" i="26"/>
  <c r="AQ198" i="26"/>
  <c r="AR198" i="26"/>
  <c r="AS198" i="26"/>
  <c r="AT198" i="26"/>
  <c r="AU198" i="26"/>
  <c r="AV198" i="26"/>
  <c r="AW198" i="26"/>
  <c r="AX198" i="26"/>
  <c r="AY198" i="26"/>
  <c r="AZ198" i="26"/>
  <c r="BA198" i="26"/>
  <c r="BB198" i="26"/>
  <c r="BC198" i="26"/>
  <c r="BD198" i="26"/>
  <c r="BE198" i="26"/>
  <c r="BF198" i="26"/>
  <c r="BG198" i="26"/>
  <c r="I199" i="26"/>
  <c r="J199" i="26"/>
  <c r="K199" i="26"/>
  <c r="L199" i="26"/>
  <c r="M199" i="26"/>
  <c r="N199" i="26"/>
  <c r="O199" i="26"/>
  <c r="P199" i="26"/>
  <c r="Q199" i="26"/>
  <c r="R199" i="26"/>
  <c r="S199" i="26"/>
  <c r="T199" i="26"/>
  <c r="U199" i="26"/>
  <c r="V199" i="26"/>
  <c r="W199" i="26"/>
  <c r="X199" i="26"/>
  <c r="Y199" i="26"/>
  <c r="Z199" i="26"/>
  <c r="AA199" i="26"/>
  <c r="AB199" i="26"/>
  <c r="AC199" i="26"/>
  <c r="AD199" i="26"/>
  <c r="AE199" i="26"/>
  <c r="AF199" i="26"/>
  <c r="AG199" i="26"/>
  <c r="AH199" i="26"/>
  <c r="AI199" i="26"/>
  <c r="AJ199" i="26"/>
  <c r="AK199" i="26"/>
  <c r="AL199" i="26"/>
  <c r="AM199" i="26"/>
  <c r="AN199" i="26"/>
  <c r="AO199" i="26"/>
  <c r="AP199" i="26"/>
  <c r="AQ199" i="26"/>
  <c r="AR199" i="26"/>
  <c r="AS199" i="26"/>
  <c r="AT199" i="26"/>
  <c r="AU199" i="26"/>
  <c r="AV199" i="26"/>
  <c r="AW199" i="26"/>
  <c r="AX199" i="26"/>
  <c r="AY199" i="26"/>
  <c r="AZ199" i="26"/>
  <c r="BA199" i="26"/>
  <c r="BB199" i="26"/>
  <c r="BC199" i="26"/>
  <c r="BD199" i="26"/>
  <c r="BE199" i="26"/>
  <c r="BF199" i="26"/>
  <c r="BG199" i="26"/>
  <c r="I200" i="26"/>
  <c r="J200" i="26"/>
  <c r="K200" i="26"/>
  <c r="L200" i="26"/>
  <c r="M200" i="26"/>
  <c r="N200" i="26"/>
  <c r="O200" i="26"/>
  <c r="P200" i="26"/>
  <c r="Q200" i="26"/>
  <c r="R200" i="26"/>
  <c r="S200" i="26"/>
  <c r="T200" i="26"/>
  <c r="U200" i="26"/>
  <c r="V200" i="26"/>
  <c r="W200" i="26"/>
  <c r="X200" i="26"/>
  <c r="Y200" i="26"/>
  <c r="Z200" i="26"/>
  <c r="AA200" i="26"/>
  <c r="AB200" i="26"/>
  <c r="AC200" i="26"/>
  <c r="AD200" i="26"/>
  <c r="AE200" i="26"/>
  <c r="AF200" i="26"/>
  <c r="AG200" i="26"/>
  <c r="AH200" i="26"/>
  <c r="AI200" i="26"/>
  <c r="AJ200" i="26"/>
  <c r="AK200" i="26"/>
  <c r="AL200" i="26"/>
  <c r="AM200" i="26"/>
  <c r="AN200" i="26"/>
  <c r="AO200" i="26"/>
  <c r="AP200" i="26"/>
  <c r="AQ200" i="26"/>
  <c r="AR200" i="26"/>
  <c r="AS200" i="26"/>
  <c r="AT200" i="26"/>
  <c r="AU200" i="26"/>
  <c r="AV200" i="26"/>
  <c r="AW200" i="26"/>
  <c r="AX200" i="26"/>
  <c r="AY200" i="26"/>
  <c r="AZ200" i="26"/>
  <c r="BA200" i="26"/>
  <c r="BB200" i="26"/>
  <c r="BC200" i="26"/>
  <c r="BD200" i="26"/>
  <c r="BE200" i="26"/>
  <c r="BF200" i="26"/>
  <c r="BG200" i="26"/>
  <c r="I201" i="26"/>
  <c r="J201" i="26"/>
  <c r="K201" i="26"/>
  <c r="L201" i="26"/>
  <c r="M201" i="26"/>
  <c r="N201" i="26"/>
  <c r="O201" i="26"/>
  <c r="P201" i="26"/>
  <c r="Q201" i="26"/>
  <c r="R201" i="26"/>
  <c r="S201" i="26"/>
  <c r="T201" i="26"/>
  <c r="U201" i="26"/>
  <c r="V201" i="26"/>
  <c r="W201" i="26"/>
  <c r="X201" i="26"/>
  <c r="Y201" i="26"/>
  <c r="Z201" i="26"/>
  <c r="AA201" i="26"/>
  <c r="AB201" i="26"/>
  <c r="AC201" i="26"/>
  <c r="AD201" i="26"/>
  <c r="AE201" i="26"/>
  <c r="AF201" i="26"/>
  <c r="AG201" i="26"/>
  <c r="AH201" i="26"/>
  <c r="AI201" i="26"/>
  <c r="AJ201" i="26"/>
  <c r="AK201" i="26"/>
  <c r="AL201" i="26"/>
  <c r="AM201" i="26"/>
  <c r="AN201" i="26"/>
  <c r="AO201" i="26"/>
  <c r="AP201" i="26"/>
  <c r="AQ201" i="26"/>
  <c r="AR201" i="26"/>
  <c r="AS201" i="26"/>
  <c r="AT201" i="26"/>
  <c r="AU201" i="26"/>
  <c r="AV201" i="26"/>
  <c r="AW201" i="26"/>
  <c r="AX201" i="26"/>
  <c r="AY201" i="26"/>
  <c r="AZ201" i="26"/>
  <c r="BA201" i="26"/>
  <c r="BB201" i="26"/>
  <c r="BC201" i="26"/>
  <c r="BD201" i="26"/>
  <c r="BE201" i="26"/>
  <c r="BF201" i="26"/>
  <c r="BG201" i="26"/>
  <c r="I202" i="26"/>
  <c r="J202" i="26"/>
  <c r="K202" i="26"/>
  <c r="L202" i="26"/>
  <c r="M202" i="26"/>
  <c r="N202" i="26"/>
  <c r="O202" i="26"/>
  <c r="P202" i="26"/>
  <c r="Q202" i="26"/>
  <c r="R202" i="26"/>
  <c r="S202" i="26"/>
  <c r="T202" i="26"/>
  <c r="U202" i="26"/>
  <c r="V202" i="26"/>
  <c r="W202" i="26"/>
  <c r="X202" i="26"/>
  <c r="Y202" i="26"/>
  <c r="Z202" i="26"/>
  <c r="AA202" i="26"/>
  <c r="AB202" i="26"/>
  <c r="AC202" i="26"/>
  <c r="AD202" i="26"/>
  <c r="AE202" i="26"/>
  <c r="AF202" i="26"/>
  <c r="AG202" i="26"/>
  <c r="AH202" i="26"/>
  <c r="AI202" i="26"/>
  <c r="AJ202" i="26"/>
  <c r="AK202" i="26"/>
  <c r="AL202" i="26"/>
  <c r="AM202" i="26"/>
  <c r="AN202" i="26"/>
  <c r="AO202" i="26"/>
  <c r="AP202" i="26"/>
  <c r="AQ202" i="26"/>
  <c r="AR202" i="26"/>
  <c r="AS202" i="26"/>
  <c r="AT202" i="26"/>
  <c r="AU202" i="26"/>
  <c r="AV202" i="26"/>
  <c r="AW202" i="26"/>
  <c r="AX202" i="26"/>
  <c r="AY202" i="26"/>
  <c r="AZ202" i="26"/>
  <c r="BA202" i="26"/>
  <c r="BB202" i="26"/>
  <c r="BC202" i="26"/>
  <c r="BD202" i="26"/>
  <c r="BE202" i="26"/>
  <c r="BF202" i="26"/>
  <c r="BG202" i="26"/>
  <c r="I203" i="26"/>
  <c r="J203" i="26"/>
  <c r="K203" i="26"/>
  <c r="L203" i="26"/>
  <c r="M203" i="26"/>
  <c r="N203" i="26"/>
  <c r="O203" i="26"/>
  <c r="P203" i="26"/>
  <c r="Q203" i="26"/>
  <c r="R203" i="26"/>
  <c r="S203" i="26"/>
  <c r="T203" i="26"/>
  <c r="U203" i="26"/>
  <c r="V203" i="26"/>
  <c r="W203" i="26"/>
  <c r="X203" i="26"/>
  <c r="Y203" i="26"/>
  <c r="Z203" i="26"/>
  <c r="AA203" i="26"/>
  <c r="AB203" i="26"/>
  <c r="AC203" i="26"/>
  <c r="AD203" i="26"/>
  <c r="AE203" i="26"/>
  <c r="AF203" i="26"/>
  <c r="AG203" i="26"/>
  <c r="AH203" i="26"/>
  <c r="AI203" i="26"/>
  <c r="AJ203" i="26"/>
  <c r="AK203" i="26"/>
  <c r="AL203" i="26"/>
  <c r="AM203" i="26"/>
  <c r="AN203" i="26"/>
  <c r="AO203" i="26"/>
  <c r="AP203" i="26"/>
  <c r="AQ203" i="26"/>
  <c r="AR203" i="26"/>
  <c r="AS203" i="26"/>
  <c r="AT203" i="26"/>
  <c r="AU203" i="26"/>
  <c r="AV203" i="26"/>
  <c r="AW203" i="26"/>
  <c r="AX203" i="26"/>
  <c r="AY203" i="26"/>
  <c r="AZ203" i="26"/>
  <c r="BA203" i="26"/>
  <c r="BB203" i="26"/>
  <c r="BC203" i="26"/>
  <c r="BD203" i="26"/>
  <c r="BE203" i="26"/>
  <c r="BF203" i="26"/>
  <c r="BG203" i="26"/>
  <c r="I204" i="26"/>
  <c r="J204" i="26"/>
  <c r="K204" i="26"/>
  <c r="L204" i="26"/>
  <c r="M204" i="26"/>
  <c r="N204" i="26"/>
  <c r="O204" i="26"/>
  <c r="P204" i="26"/>
  <c r="Q204" i="26"/>
  <c r="R204" i="26"/>
  <c r="S204" i="26"/>
  <c r="T204" i="26"/>
  <c r="U204" i="26"/>
  <c r="V204" i="26"/>
  <c r="W204" i="26"/>
  <c r="X204" i="26"/>
  <c r="Y204" i="26"/>
  <c r="Z204" i="26"/>
  <c r="AA204" i="26"/>
  <c r="AB204" i="26"/>
  <c r="AC204" i="26"/>
  <c r="AD204" i="26"/>
  <c r="AE204" i="26"/>
  <c r="AF204" i="26"/>
  <c r="AG204" i="26"/>
  <c r="AH204" i="26"/>
  <c r="AI204" i="26"/>
  <c r="AJ204" i="26"/>
  <c r="AK204" i="26"/>
  <c r="AL204" i="26"/>
  <c r="AM204" i="26"/>
  <c r="AN204" i="26"/>
  <c r="AO204" i="26"/>
  <c r="AP204" i="26"/>
  <c r="AQ204" i="26"/>
  <c r="AR204" i="26"/>
  <c r="AS204" i="26"/>
  <c r="AT204" i="26"/>
  <c r="AU204" i="26"/>
  <c r="AV204" i="26"/>
  <c r="AW204" i="26"/>
  <c r="AX204" i="26"/>
  <c r="AY204" i="26"/>
  <c r="AZ204" i="26"/>
  <c r="BA204" i="26"/>
  <c r="BB204" i="26"/>
  <c r="BC204" i="26"/>
  <c r="BD204" i="26"/>
  <c r="BE204" i="26"/>
  <c r="BF204" i="26"/>
  <c r="BG204" i="26"/>
  <c r="I205" i="26"/>
  <c r="J205" i="26"/>
  <c r="K205" i="26"/>
  <c r="L205" i="26"/>
  <c r="M205" i="26"/>
  <c r="N205" i="26"/>
  <c r="O205" i="26"/>
  <c r="P205" i="26"/>
  <c r="Q205" i="26"/>
  <c r="R205" i="26"/>
  <c r="S205" i="26"/>
  <c r="T205" i="26"/>
  <c r="U205" i="26"/>
  <c r="V205" i="26"/>
  <c r="W205" i="26"/>
  <c r="X205" i="26"/>
  <c r="Y205" i="26"/>
  <c r="Z205" i="26"/>
  <c r="AA205" i="26"/>
  <c r="AB205" i="26"/>
  <c r="AC205" i="26"/>
  <c r="AD205" i="26"/>
  <c r="AE205" i="26"/>
  <c r="AF205" i="26"/>
  <c r="AG205" i="26"/>
  <c r="AH205" i="26"/>
  <c r="AI205" i="26"/>
  <c r="AJ205" i="26"/>
  <c r="AK205" i="26"/>
  <c r="AL205" i="26"/>
  <c r="AM205" i="26"/>
  <c r="AN205" i="26"/>
  <c r="AO205" i="26"/>
  <c r="AP205" i="26"/>
  <c r="AQ205" i="26"/>
  <c r="AR205" i="26"/>
  <c r="AS205" i="26"/>
  <c r="AT205" i="26"/>
  <c r="AU205" i="26"/>
  <c r="AV205" i="26"/>
  <c r="AW205" i="26"/>
  <c r="AX205" i="26"/>
  <c r="AY205" i="26"/>
  <c r="AZ205" i="26"/>
  <c r="BA205" i="26"/>
  <c r="BB205" i="26"/>
  <c r="BC205" i="26"/>
  <c r="BD205" i="26"/>
  <c r="BE205" i="26"/>
  <c r="BF205" i="26"/>
  <c r="BG205" i="26"/>
  <c r="I206" i="26"/>
  <c r="J206" i="26"/>
  <c r="K206" i="26"/>
  <c r="L206" i="26"/>
  <c r="M206" i="26"/>
  <c r="N206" i="26"/>
  <c r="O206" i="26"/>
  <c r="P206" i="26"/>
  <c r="Q206" i="26"/>
  <c r="R206" i="26"/>
  <c r="S206" i="26"/>
  <c r="T206" i="26"/>
  <c r="U206" i="26"/>
  <c r="V206" i="26"/>
  <c r="W206" i="26"/>
  <c r="X206" i="26"/>
  <c r="Y206" i="26"/>
  <c r="Z206" i="26"/>
  <c r="AA206" i="26"/>
  <c r="AB206" i="26"/>
  <c r="AC206" i="26"/>
  <c r="AD206" i="26"/>
  <c r="AE206" i="26"/>
  <c r="AF206" i="26"/>
  <c r="AG206" i="26"/>
  <c r="AH206" i="26"/>
  <c r="AI206" i="26"/>
  <c r="AJ206" i="26"/>
  <c r="AK206" i="26"/>
  <c r="AL206" i="26"/>
  <c r="AM206" i="26"/>
  <c r="AN206" i="26"/>
  <c r="AO206" i="26"/>
  <c r="AP206" i="26"/>
  <c r="AQ206" i="26"/>
  <c r="AR206" i="26"/>
  <c r="AS206" i="26"/>
  <c r="AT206" i="26"/>
  <c r="AU206" i="26"/>
  <c r="AV206" i="26"/>
  <c r="AW206" i="26"/>
  <c r="AX206" i="26"/>
  <c r="AY206" i="26"/>
  <c r="AZ206" i="26"/>
  <c r="BA206" i="26"/>
  <c r="BB206" i="26"/>
  <c r="BC206" i="26"/>
  <c r="BD206" i="26"/>
  <c r="BE206" i="26"/>
  <c r="BF206" i="26"/>
  <c r="BG206" i="26"/>
  <c r="I207" i="26"/>
  <c r="J207" i="26"/>
  <c r="K207" i="26"/>
  <c r="L207" i="26"/>
  <c r="M207" i="26"/>
  <c r="N207" i="26"/>
  <c r="O207" i="26"/>
  <c r="P207" i="26"/>
  <c r="Q207" i="26"/>
  <c r="R207" i="26"/>
  <c r="S207" i="26"/>
  <c r="T207" i="26"/>
  <c r="U207" i="26"/>
  <c r="V207" i="26"/>
  <c r="W207" i="26"/>
  <c r="X207" i="26"/>
  <c r="Y207" i="26"/>
  <c r="Z207" i="26"/>
  <c r="AA207" i="26"/>
  <c r="AB207" i="26"/>
  <c r="AC207" i="26"/>
  <c r="AD207" i="26"/>
  <c r="AE207" i="26"/>
  <c r="AF207" i="26"/>
  <c r="AG207" i="26"/>
  <c r="AH207" i="26"/>
  <c r="AI207" i="26"/>
  <c r="AJ207" i="26"/>
  <c r="AK207" i="26"/>
  <c r="AL207" i="26"/>
  <c r="AM207" i="26"/>
  <c r="AN207" i="26"/>
  <c r="AO207" i="26"/>
  <c r="AP207" i="26"/>
  <c r="AQ207" i="26"/>
  <c r="AR207" i="26"/>
  <c r="AS207" i="26"/>
  <c r="AT207" i="26"/>
  <c r="AU207" i="26"/>
  <c r="AV207" i="26"/>
  <c r="AW207" i="26"/>
  <c r="AX207" i="26"/>
  <c r="AY207" i="26"/>
  <c r="AZ207" i="26"/>
  <c r="BA207" i="26"/>
  <c r="BB207" i="26"/>
  <c r="BC207" i="26"/>
  <c r="BD207" i="26"/>
  <c r="BE207" i="26"/>
  <c r="BF207" i="26"/>
  <c r="BG207" i="26"/>
  <c r="I208" i="26"/>
  <c r="J208" i="26"/>
  <c r="K208" i="26"/>
  <c r="L208" i="26"/>
  <c r="M208" i="26"/>
  <c r="N208" i="26"/>
  <c r="O208" i="26"/>
  <c r="P208" i="26"/>
  <c r="Q208" i="26"/>
  <c r="R208" i="26"/>
  <c r="S208" i="26"/>
  <c r="T208" i="26"/>
  <c r="U208" i="26"/>
  <c r="V208" i="26"/>
  <c r="W208" i="26"/>
  <c r="X208" i="26"/>
  <c r="Y208" i="26"/>
  <c r="Z208" i="26"/>
  <c r="AA208" i="26"/>
  <c r="AB208" i="26"/>
  <c r="AC208" i="26"/>
  <c r="AD208" i="26"/>
  <c r="AE208" i="26"/>
  <c r="AF208" i="26"/>
  <c r="AG208" i="26"/>
  <c r="AH208" i="26"/>
  <c r="AI208" i="26"/>
  <c r="AJ208" i="26"/>
  <c r="AK208" i="26"/>
  <c r="AL208" i="26"/>
  <c r="AM208" i="26"/>
  <c r="AN208" i="26"/>
  <c r="AO208" i="26"/>
  <c r="AP208" i="26"/>
  <c r="AQ208" i="26"/>
  <c r="AR208" i="26"/>
  <c r="AS208" i="26"/>
  <c r="AT208" i="26"/>
  <c r="AU208" i="26"/>
  <c r="AV208" i="26"/>
  <c r="AW208" i="26"/>
  <c r="AX208" i="26"/>
  <c r="AY208" i="26"/>
  <c r="AZ208" i="26"/>
  <c r="BA208" i="26"/>
  <c r="BB208" i="26"/>
  <c r="BC208" i="26"/>
  <c r="BD208" i="26"/>
  <c r="BE208" i="26"/>
  <c r="BF208" i="26"/>
  <c r="BG208" i="26"/>
  <c r="I209" i="26"/>
  <c r="J209" i="26"/>
  <c r="K209" i="26"/>
  <c r="L209" i="26"/>
  <c r="M209" i="26"/>
  <c r="N209" i="26"/>
  <c r="O209" i="26"/>
  <c r="P209" i="26"/>
  <c r="Q209" i="26"/>
  <c r="R209" i="26"/>
  <c r="S209" i="26"/>
  <c r="T209" i="26"/>
  <c r="U209" i="26"/>
  <c r="V209" i="26"/>
  <c r="W209" i="26"/>
  <c r="X209" i="26"/>
  <c r="Y209" i="26"/>
  <c r="Z209" i="26"/>
  <c r="AA209" i="26"/>
  <c r="AB209" i="26"/>
  <c r="AC209" i="26"/>
  <c r="AD209" i="26"/>
  <c r="AE209" i="26"/>
  <c r="AF209" i="26"/>
  <c r="AG209" i="26"/>
  <c r="AH209" i="26"/>
  <c r="AI209" i="26"/>
  <c r="AJ209" i="26"/>
  <c r="AK209" i="26"/>
  <c r="AL209" i="26"/>
  <c r="AM209" i="26"/>
  <c r="AN209" i="26"/>
  <c r="AO209" i="26"/>
  <c r="AP209" i="26"/>
  <c r="AQ209" i="26"/>
  <c r="AR209" i="26"/>
  <c r="AS209" i="26"/>
  <c r="AT209" i="26"/>
  <c r="AU209" i="26"/>
  <c r="AV209" i="26"/>
  <c r="AW209" i="26"/>
  <c r="AX209" i="26"/>
  <c r="AY209" i="26"/>
  <c r="AZ209" i="26"/>
  <c r="BA209" i="26"/>
  <c r="BB209" i="26"/>
  <c r="BC209" i="26"/>
  <c r="BD209" i="26"/>
  <c r="BE209" i="26"/>
  <c r="BF209" i="26"/>
  <c r="BG209" i="26"/>
  <c r="I210" i="26"/>
  <c r="J210" i="26"/>
  <c r="K210" i="26"/>
  <c r="L210" i="26"/>
  <c r="M210" i="26"/>
  <c r="N210" i="26"/>
  <c r="O210" i="26"/>
  <c r="P210" i="26"/>
  <c r="Q210" i="26"/>
  <c r="R210" i="26"/>
  <c r="S210" i="26"/>
  <c r="T210" i="26"/>
  <c r="U210" i="26"/>
  <c r="V210" i="26"/>
  <c r="W210" i="26"/>
  <c r="X210" i="26"/>
  <c r="Y210" i="26"/>
  <c r="Z210" i="26"/>
  <c r="AA210" i="26"/>
  <c r="AB210" i="26"/>
  <c r="AC210" i="26"/>
  <c r="AD210" i="26"/>
  <c r="AE210" i="26"/>
  <c r="AF210" i="26"/>
  <c r="AG210" i="26"/>
  <c r="AH210" i="26"/>
  <c r="AI210" i="26"/>
  <c r="AJ210" i="26"/>
  <c r="AK210" i="26"/>
  <c r="AL210" i="26"/>
  <c r="AM210" i="26"/>
  <c r="AN210" i="26"/>
  <c r="AO210" i="26"/>
  <c r="AP210" i="26"/>
  <c r="AQ210" i="26"/>
  <c r="AR210" i="26"/>
  <c r="AS210" i="26"/>
  <c r="AT210" i="26"/>
  <c r="AU210" i="26"/>
  <c r="AV210" i="26"/>
  <c r="AW210" i="26"/>
  <c r="AX210" i="26"/>
  <c r="AY210" i="26"/>
  <c r="AZ210" i="26"/>
  <c r="BA210" i="26"/>
  <c r="BB210" i="26"/>
  <c r="BC210" i="26"/>
  <c r="BD210" i="26"/>
  <c r="BE210" i="26"/>
  <c r="BF210" i="26"/>
  <c r="BG210" i="26"/>
  <c r="I211" i="26"/>
  <c r="J211" i="26"/>
  <c r="K211" i="26"/>
  <c r="L211" i="26"/>
  <c r="M211" i="26"/>
  <c r="N211" i="26"/>
  <c r="O211" i="26"/>
  <c r="P211" i="26"/>
  <c r="Q211" i="26"/>
  <c r="R211" i="26"/>
  <c r="S211" i="26"/>
  <c r="T211" i="26"/>
  <c r="U211" i="26"/>
  <c r="V211" i="26"/>
  <c r="W211" i="26"/>
  <c r="X211" i="26"/>
  <c r="Y211" i="26"/>
  <c r="Z211" i="26"/>
  <c r="AA211" i="26"/>
  <c r="AB211" i="26"/>
  <c r="AC211" i="26"/>
  <c r="AD211" i="26"/>
  <c r="AE211" i="26"/>
  <c r="AF211" i="26"/>
  <c r="AG211" i="26"/>
  <c r="AH211" i="26"/>
  <c r="AI211" i="26"/>
  <c r="AJ211" i="26"/>
  <c r="AK211" i="26"/>
  <c r="AL211" i="26"/>
  <c r="AM211" i="26"/>
  <c r="AN211" i="26"/>
  <c r="AO211" i="26"/>
  <c r="AP211" i="26"/>
  <c r="AQ211" i="26"/>
  <c r="AR211" i="26"/>
  <c r="AS211" i="26"/>
  <c r="AT211" i="26"/>
  <c r="AU211" i="26"/>
  <c r="AV211" i="26"/>
  <c r="AW211" i="26"/>
  <c r="AX211" i="26"/>
  <c r="AY211" i="26"/>
  <c r="AZ211" i="26"/>
  <c r="BA211" i="26"/>
  <c r="BB211" i="26"/>
  <c r="BC211" i="26"/>
  <c r="BD211" i="26"/>
  <c r="BE211" i="26"/>
  <c r="BF211" i="26"/>
  <c r="BG211" i="26"/>
  <c r="I212" i="26"/>
  <c r="J212" i="26"/>
  <c r="K212" i="26"/>
  <c r="L212" i="26"/>
  <c r="M212" i="26"/>
  <c r="N212" i="26"/>
  <c r="O212" i="26"/>
  <c r="P212" i="26"/>
  <c r="Q212" i="26"/>
  <c r="R212" i="26"/>
  <c r="S212" i="26"/>
  <c r="T212" i="26"/>
  <c r="U212" i="26"/>
  <c r="V212" i="26"/>
  <c r="W212" i="26"/>
  <c r="X212" i="26"/>
  <c r="Y212" i="26"/>
  <c r="Z212" i="26"/>
  <c r="AA212" i="26"/>
  <c r="AB212" i="26"/>
  <c r="AC212" i="26"/>
  <c r="AD212" i="26"/>
  <c r="AE212" i="26"/>
  <c r="AF212" i="26"/>
  <c r="AG212" i="26"/>
  <c r="AH212" i="26"/>
  <c r="AI212" i="26"/>
  <c r="AJ212" i="26"/>
  <c r="AK212" i="26"/>
  <c r="AL212" i="26"/>
  <c r="AM212" i="26"/>
  <c r="AN212" i="26"/>
  <c r="AO212" i="26"/>
  <c r="AP212" i="26"/>
  <c r="AQ212" i="26"/>
  <c r="AR212" i="26"/>
  <c r="AS212" i="26"/>
  <c r="AT212" i="26"/>
  <c r="AU212" i="26"/>
  <c r="AV212" i="26"/>
  <c r="AW212" i="26"/>
  <c r="AX212" i="26"/>
  <c r="AY212" i="26"/>
  <c r="AZ212" i="26"/>
  <c r="BA212" i="26"/>
  <c r="BB212" i="26"/>
  <c r="BC212" i="26"/>
  <c r="BD212" i="26"/>
  <c r="BE212" i="26"/>
  <c r="BF212" i="26"/>
  <c r="BG212" i="26"/>
  <c r="I213" i="26"/>
  <c r="J213" i="26"/>
  <c r="K213" i="26"/>
  <c r="L213" i="26"/>
  <c r="M213" i="26"/>
  <c r="N213" i="26"/>
  <c r="O213" i="26"/>
  <c r="P213" i="26"/>
  <c r="Q213" i="26"/>
  <c r="R213" i="26"/>
  <c r="S213" i="26"/>
  <c r="T213" i="26"/>
  <c r="U213" i="26"/>
  <c r="V213" i="26"/>
  <c r="W213" i="26"/>
  <c r="X213" i="26"/>
  <c r="Y213" i="26"/>
  <c r="Z213" i="26"/>
  <c r="AA213" i="26"/>
  <c r="AB213" i="26"/>
  <c r="AC213" i="26"/>
  <c r="AD213" i="26"/>
  <c r="AE213" i="26"/>
  <c r="AF213" i="26"/>
  <c r="AG213" i="26"/>
  <c r="AH213" i="26"/>
  <c r="AI213" i="26"/>
  <c r="AJ213" i="26"/>
  <c r="AK213" i="26"/>
  <c r="AL213" i="26"/>
  <c r="AM213" i="26"/>
  <c r="AN213" i="26"/>
  <c r="AO213" i="26"/>
  <c r="AP213" i="26"/>
  <c r="AQ213" i="26"/>
  <c r="AR213" i="26"/>
  <c r="AS213" i="26"/>
  <c r="AT213" i="26"/>
  <c r="AU213" i="26"/>
  <c r="AV213" i="26"/>
  <c r="AW213" i="26"/>
  <c r="AX213" i="26"/>
  <c r="AY213" i="26"/>
  <c r="AZ213" i="26"/>
  <c r="BA213" i="26"/>
  <c r="BB213" i="26"/>
  <c r="BC213" i="26"/>
  <c r="BD213" i="26"/>
  <c r="BE213" i="26"/>
  <c r="BF213" i="26"/>
  <c r="BG213" i="26"/>
  <c r="I214" i="26"/>
  <c r="J214" i="26"/>
  <c r="K214" i="26"/>
  <c r="L214" i="26"/>
  <c r="M214" i="26"/>
  <c r="N214" i="26"/>
  <c r="O214" i="26"/>
  <c r="P214" i="26"/>
  <c r="Q214" i="26"/>
  <c r="R214" i="26"/>
  <c r="S214" i="26"/>
  <c r="T214" i="26"/>
  <c r="U214" i="26"/>
  <c r="V214" i="26"/>
  <c r="W214" i="26"/>
  <c r="X214" i="26"/>
  <c r="Y214" i="26"/>
  <c r="Z214" i="26"/>
  <c r="AA214" i="26"/>
  <c r="AB214" i="26"/>
  <c r="AC214" i="26"/>
  <c r="AD214" i="26"/>
  <c r="AE214" i="26"/>
  <c r="AF214" i="26"/>
  <c r="AG214" i="26"/>
  <c r="AH214" i="26"/>
  <c r="AI214" i="26"/>
  <c r="AJ214" i="26"/>
  <c r="AK214" i="26"/>
  <c r="AL214" i="26"/>
  <c r="AM214" i="26"/>
  <c r="AN214" i="26"/>
  <c r="AO214" i="26"/>
  <c r="AP214" i="26"/>
  <c r="AQ214" i="26"/>
  <c r="AR214" i="26"/>
  <c r="AS214" i="26"/>
  <c r="AT214" i="26"/>
  <c r="AU214" i="26"/>
  <c r="AV214" i="26"/>
  <c r="AW214" i="26"/>
  <c r="AX214" i="26"/>
  <c r="AY214" i="26"/>
  <c r="AZ214" i="26"/>
  <c r="BA214" i="26"/>
  <c r="BB214" i="26"/>
  <c r="BC214" i="26"/>
  <c r="BD214" i="26"/>
  <c r="BE214" i="26"/>
  <c r="BF214" i="26"/>
  <c r="BG214" i="26"/>
  <c r="I215" i="26"/>
  <c r="J215" i="26"/>
  <c r="K215" i="26"/>
  <c r="L215" i="26"/>
  <c r="M215" i="26"/>
  <c r="N215" i="26"/>
  <c r="O215" i="26"/>
  <c r="P215" i="26"/>
  <c r="Q215" i="26"/>
  <c r="R215" i="26"/>
  <c r="S215" i="26"/>
  <c r="T215" i="26"/>
  <c r="U215" i="26"/>
  <c r="V215" i="26"/>
  <c r="W215" i="26"/>
  <c r="X215" i="26"/>
  <c r="Y215" i="26"/>
  <c r="Z215" i="26"/>
  <c r="AA215" i="26"/>
  <c r="AB215" i="26"/>
  <c r="AC215" i="26"/>
  <c r="AD215" i="26"/>
  <c r="AE215" i="26"/>
  <c r="AF215" i="26"/>
  <c r="AG215" i="26"/>
  <c r="AH215" i="26"/>
  <c r="AI215" i="26"/>
  <c r="AJ215" i="26"/>
  <c r="AK215" i="26"/>
  <c r="AL215" i="26"/>
  <c r="AM215" i="26"/>
  <c r="AN215" i="26"/>
  <c r="AO215" i="26"/>
  <c r="AP215" i="26"/>
  <c r="AQ215" i="26"/>
  <c r="AR215" i="26"/>
  <c r="AS215" i="26"/>
  <c r="AT215" i="26"/>
  <c r="AU215" i="26"/>
  <c r="AV215" i="26"/>
  <c r="AW215" i="26"/>
  <c r="AX215" i="26"/>
  <c r="AY215" i="26"/>
  <c r="AZ215" i="26"/>
  <c r="BA215" i="26"/>
  <c r="BB215" i="26"/>
  <c r="BC215" i="26"/>
  <c r="BD215" i="26"/>
  <c r="BE215" i="26"/>
  <c r="BF215" i="26"/>
  <c r="BG215" i="26"/>
  <c r="I216" i="26"/>
  <c r="J216" i="26"/>
  <c r="K216" i="26"/>
  <c r="L216" i="26"/>
  <c r="M216" i="26"/>
  <c r="N216" i="26"/>
  <c r="O216" i="26"/>
  <c r="P216" i="26"/>
  <c r="Q216" i="26"/>
  <c r="R216" i="26"/>
  <c r="S216" i="26"/>
  <c r="T216" i="26"/>
  <c r="U216" i="26"/>
  <c r="V216" i="26"/>
  <c r="W216" i="26"/>
  <c r="X216" i="26"/>
  <c r="Y216" i="26"/>
  <c r="Z216" i="26"/>
  <c r="AA216" i="26"/>
  <c r="AB216" i="26"/>
  <c r="AC216" i="26"/>
  <c r="AD216" i="26"/>
  <c r="AE216" i="26"/>
  <c r="AF216" i="26"/>
  <c r="AG216" i="26"/>
  <c r="AH216" i="26"/>
  <c r="AI216" i="26"/>
  <c r="AJ216" i="26"/>
  <c r="AK216" i="26"/>
  <c r="AL216" i="26"/>
  <c r="AM216" i="26"/>
  <c r="AN216" i="26"/>
  <c r="AO216" i="26"/>
  <c r="AP216" i="26"/>
  <c r="AQ216" i="26"/>
  <c r="AR216" i="26"/>
  <c r="AS216" i="26"/>
  <c r="AT216" i="26"/>
  <c r="AU216" i="26"/>
  <c r="AV216" i="26"/>
  <c r="AW216" i="26"/>
  <c r="AX216" i="26"/>
  <c r="AY216" i="26"/>
  <c r="AZ216" i="26"/>
  <c r="BA216" i="26"/>
  <c r="BB216" i="26"/>
  <c r="BC216" i="26"/>
  <c r="BD216" i="26"/>
  <c r="BE216" i="26"/>
  <c r="BF216" i="26"/>
  <c r="BG216" i="26"/>
  <c r="I217" i="26"/>
  <c r="J217" i="26"/>
  <c r="K217" i="26"/>
  <c r="L217" i="26"/>
  <c r="M217" i="26"/>
  <c r="N217" i="26"/>
  <c r="O217" i="26"/>
  <c r="P217" i="26"/>
  <c r="Q217" i="26"/>
  <c r="R217" i="26"/>
  <c r="S217" i="26"/>
  <c r="T217" i="26"/>
  <c r="U217" i="26"/>
  <c r="V217" i="26"/>
  <c r="W217" i="26"/>
  <c r="X217" i="26"/>
  <c r="Y217" i="26"/>
  <c r="Z217" i="26"/>
  <c r="AA217" i="26"/>
  <c r="AB217" i="26"/>
  <c r="AC217" i="26"/>
  <c r="AD217" i="26"/>
  <c r="AE217" i="26"/>
  <c r="AF217" i="26"/>
  <c r="AG217" i="26"/>
  <c r="AH217" i="26"/>
  <c r="AI217" i="26"/>
  <c r="AJ217" i="26"/>
  <c r="AK217" i="26"/>
  <c r="AL217" i="26"/>
  <c r="AM217" i="26"/>
  <c r="AN217" i="26"/>
  <c r="AO217" i="26"/>
  <c r="AP217" i="26"/>
  <c r="AQ217" i="26"/>
  <c r="AR217" i="26"/>
  <c r="AS217" i="26"/>
  <c r="AT217" i="26"/>
  <c r="AU217" i="26"/>
  <c r="AV217" i="26"/>
  <c r="AW217" i="26"/>
  <c r="AX217" i="26"/>
  <c r="AY217" i="26"/>
  <c r="AZ217" i="26"/>
  <c r="BA217" i="26"/>
  <c r="BB217" i="26"/>
  <c r="BC217" i="26"/>
  <c r="BD217" i="26"/>
  <c r="BE217" i="26"/>
  <c r="BF217" i="26"/>
  <c r="BG217" i="26"/>
  <c r="I218" i="26"/>
  <c r="J218" i="26"/>
  <c r="K218" i="26"/>
  <c r="L218" i="26"/>
  <c r="M218" i="26"/>
  <c r="N218" i="26"/>
  <c r="O218" i="26"/>
  <c r="P218" i="26"/>
  <c r="Q218" i="26"/>
  <c r="R218" i="26"/>
  <c r="S218" i="26"/>
  <c r="T218" i="26"/>
  <c r="U218" i="26"/>
  <c r="V218" i="26"/>
  <c r="W218" i="26"/>
  <c r="X218" i="26"/>
  <c r="Y218" i="26"/>
  <c r="Z218" i="26"/>
  <c r="AA218" i="26"/>
  <c r="AB218" i="26"/>
  <c r="AC218" i="26"/>
  <c r="AD218" i="26"/>
  <c r="AE218" i="26"/>
  <c r="AF218" i="26"/>
  <c r="AG218" i="26"/>
  <c r="AH218" i="26"/>
  <c r="AI218" i="26"/>
  <c r="AJ218" i="26"/>
  <c r="AK218" i="26"/>
  <c r="AL218" i="26"/>
  <c r="AM218" i="26"/>
  <c r="AN218" i="26"/>
  <c r="AO218" i="26"/>
  <c r="AP218" i="26"/>
  <c r="AQ218" i="26"/>
  <c r="AR218" i="26"/>
  <c r="AS218" i="26"/>
  <c r="AT218" i="26"/>
  <c r="AU218" i="26"/>
  <c r="AV218" i="26"/>
  <c r="AW218" i="26"/>
  <c r="AX218" i="26"/>
  <c r="AY218" i="26"/>
  <c r="AZ218" i="26"/>
  <c r="BA218" i="26"/>
  <c r="BB218" i="26"/>
  <c r="BC218" i="26"/>
  <c r="BD218" i="26"/>
  <c r="BE218" i="26"/>
  <c r="BF218" i="26"/>
  <c r="BG218" i="26"/>
  <c r="I219" i="26"/>
  <c r="J219" i="26"/>
  <c r="K219" i="26"/>
  <c r="L219" i="26"/>
  <c r="M219" i="26"/>
  <c r="N219" i="26"/>
  <c r="O219" i="26"/>
  <c r="P219" i="26"/>
  <c r="Q219" i="26"/>
  <c r="R219" i="26"/>
  <c r="S219" i="26"/>
  <c r="T219" i="26"/>
  <c r="U219" i="26"/>
  <c r="V219" i="26"/>
  <c r="W219" i="26"/>
  <c r="X219" i="26"/>
  <c r="Y219" i="26"/>
  <c r="Z219" i="26"/>
  <c r="AA219" i="26"/>
  <c r="AB219" i="26"/>
  <c r="AC219" i="26"/>
  <c r="AD219" i="26"/>
  <c r="AE219" i="26"/>
  <c r="AF219" i="26"/>
  <c r="AG219" i="26"/>
  <c r="AH219" i="26"/>
  <c r="AI219" i="26"/>
  <c r="AJ219" i="26"/>
  <c r="AK219" i="26"/>
  <c r="AL219" i="26"/>
  <c r="AM219" i="26"/>
  <c r="AN219" i="26"/>
  <c r="AO219" i="26"/>
  <c r="AP219" i="26"/>
  <c r="AQ219" i="26"/>
  <c r="AR219" i="26"/>
  <c r="AS219" i="26"/>
  <c r="AT219" i="26"/>
  <c r="AU219" i="26"/>
  <c r="AV219" i="26"/>
  <c r="AW219" i="26"/>
  <c r="AX219" i="26"/>
  <c r="AY219" i="26"/>
  <c r="AZ219" i="26"/>
  <c r="BA219" i="26"/>
  <c r="BB219" i="26"/>
  <c r="BC219" i="26"/>
  <c r="BD219" i="26"/>
  <c r="BE219" i="26"/>
  <c r="BF219" i="26"/>
  <c r="BG219" i="26"/>
  <c r="I220" i="26"/>
  <c r="J220" i="26"/>
  <c r="K220" i="26"/>
  <c r="L220" i="26"/>
  <c r="M220" i="26"/>
  <c r="N220" i="26"/>
  <c r="O220" i="26"/>
  <c r="P220" i="26"/>
  <c r="Q220" i="26"/>
  <c r="R220" i="26"/>
  <c r="S220" i="26"/>
  <c r="T220" i="26"/>
  <c r="U220" i="26"/>
  <c r="V220" i="26"/>
  <c r="W220" i="26"/>
  <c r="X220" i="26"/>
  <c r="Y220" i="26"/>
  <c r="Z220" i="26"/>
  <c r="AA220" i="26"/>
  <c r="AB220" i="26"/>
  <c r="AC220" i="26"/>
  <c r="AD220" i="26"/>
  <c r="AE220" i="26"/>
  <c r="AF220" i="26"/>
  <c r="AG220" i="26"/>
  <c r="AH220" i="26"/>
  <c r="AI220" i="26"/>
  <c r="AJ220" i="26"/>
  <c r="AK220" i="26"/>
  <c r="AL220" i="26"/>
  <c r="AM220" i="26"/>
  <c r="AN220" i="26"/>
  <c r="AO220" i="26"/>
  <c r="AP220" i="26"/>
  <c r="AQ220" i="26"/>
  <c r="AR220" i="26"/>
  <c r="AS220" i="26"/>
  <c r="AT220" i="26"/>
  <c r="AU220" i="26"/>
  <c r="AV220" i="26"/>
  <c r="AW220" i="26"/>
  <c r="AX220" i="26"/>
  <c r="AY220" i="26"/>
  <c r="AZ220" i="26"/>
  <c r="BA220" i="26"/>
  <c r="BB220" i="26"/>
  <c r="BC220" i="26"/>
  <c r="BD220" i="26"/>
  <c r="BE220" i="26"/>
  <c r="BF220" i="26"/>
  <c r="BG220" i="26"/>
  <c r="I221" i="26"/>
  <c r="J221" i="26"/>
  <c r="K221" i="26"/>
  <c r="L221" i="26"/>
  <c r="M221" i="26"/>
  <c r="N221" i="26"/>
  <c r="O221" i="26"/>
  <c r="P221" i="26"/>
  <c r="Q221" i="26"/>
  <c r="R221" i="26"/>
  <c r="S221" i="26"/>
  <c r="T221" i="26"/>
  <c r="U221" i="26"/>
  <c r="V221" i="26"/>
  <c r="W221" i="26"/>
  <c r="X221" i="26"/>
  <c r="Y221" i="26"/>
  <c r="Z221" i="26"/>
  <c r="AA221" i="26"/>
  <c r="AB221" i="26"/>
  <c r="AC221" i="26"/>
  <c r="AD221" i="26"/>
  <c r="AE221" i="26"/>
  <c r="AF221" i="26"/>
  <c r="AG221" i="26"/>
  <c r="AH221" i="26"/>
  <c r="AI221" i="26"/>
  <c r="AJ221" i="26"/>
  <c r="AK221" i="26"/>
  <c r="AL221" i="26"/>
  <c r="AM221" i="26"/>
  <c r="AN221" i="26"/>
  <c r="AO221" i="26"/>
  <c r="AP221" i="26"/>
  <c r="AQ221" i="26"/>
  <c r="AR221" i="26"/>
  <c r="AS221" i="26"/>
  <c r="AT221" i="26"/>
  <c r="AU221" i="26"/>
  <c r="AV221" i="26"/>
  <c r="AW221" i="26"/>
  <c r="AX221" i="26"/>
  <c r="AY221" i="26"/>
  <c r="AZ221" i="26"/>
  <c r="BA221" i="26"/>
  <c r="BB221" i="26"/>
  <c r="BC221" i="26"/>
  <c r="BD221" i="26"/>
  <c r="BE221" i="26"/>
  <c r="BF221" i="26"/>
  <c r="BG221" i="26"/>
  <c r="I222" i="26"/>
  <c r="J222" i="26"/>
  <c r="K222" i="26"/>
  <c r="L222" i="26"/>
  <c r="M222" i="26"/>
  <c r="N222" i="26"/>
  <c r="O222" i="26"/>
  <c r="P222" i="26"/>
  <c r="Q222" i="26"/>
  <c r="R222" i="26"/>
  <c r="S222" i="26"/>
  <c r="T222" i="26"/>
  <c r="U222" i="26"/>
  <c r="V222" i="26"/>
  <c r="W222" i="26"/>
  <c r="X222" i="26"/>
  <c r="Y222" i="26"/>
  <c r="Z222" i="26"/>
  <c r="AA222" i="26"/>
  <c r="AB222" i="26"/>
  <c r="AC222" i="26"/>
  <c r="AD222" i="26"/>
  <c r="AE222" i="26"/>
  <c r="AF222" i="26"/>
  <c r="AG222" i="26"/>
  <c r="AH222" i="26"/>
  <c r="AI222" i="26"/>
  <c r="AJ222" i="26"/>
  <c r="AK222" i="26"/>
  <c r="AL222" i="26"/>
  <c r="AM222" i="26"/>
  <c r="AN222" i="26"/>
  <c r="AO222" i="26"/>
  <c r="AP222" i="26"/>
  <c r="AQ222" i="26"/>
  <c r="AR222" i="26"/>
  <c r="AS222" i="26"/>
  <c r="AT222" i="26"/>
  <c r="AU222" i="26"/>
  <c r="AV222" i="26"/>
  <c r="AW222" i="26"/>
  <c r="AX222" i="26"/>
  <c r="AY222" i="26"/>
  <c r="AZ222" i="26"/>
  <c r="BA222" i="26"/>
  <c r="BB222" i="26"/>
  <c r="BC222" i="26"/>
  <c r="BD222" i="26"/>
  <c r="BE222" i="26"/>
  <c r="BF222" i="26"/>
  <c r="BG222" i="26"/>
  <c r="I223" i="26"/>
  <c r="J223" i="26"/>
  <c r="K223" i="26"/>
  <c r="L223" i="26"/>
  <c r="M223" i="26"/>
  <c r="N223" i="26"/>
  <c r="O223" i="26"/>
  <c r="P223" i="26"/>
  <c r="Q223" i="26"/>
  <c r="R223" i="26"/>
  <c r="S223" i="26"/>
  <c r="T223" i="26"/>
  <c r="U223" i="26"/>
  <c r="V223" i="26"/>
  <c r="W223" i="26"/>
  <c r="X223" i="26"/>
  <c r="Y223" i="26"/>
  <c r="Z223" i="26"/>
  <c r="AA223" i="26"/>
  <c r="AB223" i="26"/>
  <c r="AC223" i="26"/>
  <c r="AD223" i="26"/>
  <c r="AE223" i="26"/>
  <c r="AF223" i="26"/>
  <c r="AG223" i="26"/>
  <c r="AH223" i="26"/>
  <c r="AI223" i="26"/>
  <c r="AJ223" i="26"/>
  <c r="AK223" i="26"/>
  <c r="AL223" i="26"/>
  <c r="AM223" i="26"/>
  <c r="AN223" i="26"/>
  <c r="AO223" i="26"/>
  <c r="AP223" i="26"/>
  <c r="AQ223" i="26"/>
  <c r="AR223" i="26"/>
  <c r="AS223" i="26"/>
  <c r="AT223" i="26"/>
  <c r="AU223" i="26"/>
  <c r="AV223" i="26"/>
  <c r="AW223" i="26"/>
  <c r="AX223" i="26"/>
  <c r="AY223" i="26"/>
  <c r="AZ223" i="26"/>
  <c r="BA223" i="26"/>
  <c r="BB223" i="26"/>
  <c r="BC223" i="26"/>
  <c r="BD223" i="26"/>
  <c r="BE223" i="26"/>
  <c r="BF223" i="26"/>
  <c r="BG223" i="26"/>
  <c r="I224" i="26"/>
  <c r="J224" i="26"/>
  <c r="K224" i="26"/>
  <c r="L224" i="26"/>
  <c r="M224" i="26"/>
  <c r="N224" i="26"/>
  <c r="O224" i="26"/>
  <c r="P224" i="26"/>
  <c r="Q224" i="26"/>
  <c r="R224" i="26"/>
  <c r="S224" i="26"/>
  <c r="T224" i="26"/>
  <c r="U224" i="26"/>
  <c r="V224" i="26"/>
  <c r="W224" i="26"/>
  <c r="X224" i="26"/>
  <c r="Y224" i="26"/>
  <c r="Z224" i="26"/>
  <c r="AA224" i="26"/>
  <c r="AB224" i="26"/>
  <c r="AC224" i="26"/>
  <c r="AD224" i="26"/>
  <c r="AE224" i="26"/>
  <c r="AF224" i="26"/>
  <c r="AG224" i="26"/>
  <c r="AH224" i="26"/>
  <c r="AI224" i="26"/>
  <c r="AJ224" i="26"/>
  <c r="AK224" i="26"/>
  <c r="AL224" i="26"/>
  <c r="AM224" i="26"/>
  <c r="AN224" i="26"/>
  <c r="AO224" i="26"/>
  <c r="AP224" i="26"/>
  <c r="AQ224" i="26"/>
  <c r="AR224" i="26"/>
  <c r="AS224" i="26"/>
  <c r="AT224" i="26"/>
  <c r="AU224" i="26"/>
  <c r="AV224" i="26"/>
  <c r="AW224" i="26"/>
  <c r="AX224" i="26"/>
  <c r="AY224" i="26"/>
  <c r="AZ224" i="26"/>
  <c r="BA224" i="26"/>
  <c r="BB224" i="26"/>
  <c r="BC224" i="26"/>
  <c r="BD224" i="26"/>
  <c r="BE224" i="26"/>
  <c r="BF224" i="26"/>
  <c r="BG224" i="26"/>
  <c r="I225" i="26"/>
  <c r="J225" i="26"/>
  <c r="K225" i="26"/>
  <c r="L225" i="26"/>
  <c r="M225" i="26"/>
  <c r="N225" i="26"/>
  <c r="O225" i="26"/>
  <c r="P225" i="26"/>
  <c r="Q225" i="26"/>
  <c r="R225" i="26"/>
  <c r="S225" i="26"/>
  <c r="T225" i="26"/>
  <c r="U225" i="26"/>
  <c r="V225" i="26"/>
  <c r="W225" i="26"/>
  <c r="X225" i="26"/>
  <c r="Y225" i="26"/>
  <c r="Z225" i="26"/>
  <c r="AA225" i="26"/>
  <c r="AB225" i="26"/>
  <c r="AC225" i="26"/>
  <c r="AD225" i="26"/>
  <c r="AE225" i="26"/>
  <c r="AF225" i="26"/>
  <c r="AG225" i="26"/>
  <c r="AH225" i="26"/>
  <c r="AI225" i="26"/>
  <c r="AJ225" i="26"/>
  <c r="AK225" i="26"/>
  <c r="AL225" i="26"/>
  <c r="AM225" i="26"/>
  <c r="AN225" i="26"/>
  <c r="AO225" i="26"/>
  <c r="AP225" i="26"/>
  <c r="AQ225" i="26"/>
  <c r="AR225" i="26"/>
  <c r="AS225" i="26"/>
  <c r="AT225" i="26"/>
  <c r="AU225" i="26"/>
  <c r="AV225" i="26"/>
  <c r="AW225" i="26"/>
  <c r="AX225" i="26"/>
  <c r="AY225" i="26"/>
  <c r="AZ225" i="26"/>
  <c r="BA225" i="26"/>
  <c r="BB225" i="26"/>
  <c r="BC225" i="26"/>
  <c r="BD225" i="26"/>
  <c r="BE225" i="26"/>
  <c r="BF225" i="26"/>
  <c r="BG225" i="26"/>
  <c r="I226" i="26"/>
  <c r="J226" i="26"/>
  <c r="K226" i="26"/>
  <c r="L226" i="26"/>
  <c r="M226" i="26"/>
  <c r="N226" i="26"/>
  <c r="O226" i="26"/>
  <c r="P226" i="26"/>
  <c r="Q226" i="26"/>
  <c r="R226" i="26"/>
  <c r="S226" i="26"/>
  <c r="T226" i="26"/>
  <c r="U226" i="26"/>
  <c r="V226" i="26"/>
  <c r="W226" i="26"/>
  <c r="X226" i="26"/>
  <c r="Y226" i="26"/>
  <c r="Z226" i="26"/>
  <c r="AA226" i="26"/>
  <c r="AB226" i="26"/>
  <c r="AC226" i="26"/>
  <c r="AD226" i="26"/>
  <c r="AE226" i="26"/>
  <c r="AF226" i="26"/>
  <c r="AG226" i="26"/>
  <c r="AH226" i="26"/>
  <c r="AI226" i="26"/>
  <c r="AJ226" i="26"/>
  <c r="AK226" i="26"/>
  <c r="AL226" i="26"/>
  <c r="AM226" i="26"/>
  <c r="AN226" i="26"/>
  <c r="AO226" i="26"/>
  <c r="AP226" i="26"/>
  <c r="AQ226" i="26"/>
  <c r="AR226" i="26"/>
  <c r="AS226" i="26"/>
  <c r="AT226" i="26"/>
  <c r="AU226" i="26"/>
  <c r="AV226" i="26"/>
  <c r="AW226" i="26"/>
  <c r="AX226" i="26"/>
  <c r="AY226" i="26"/>
  <c r="AZ226" i="26"/>
  <c r="BA226" i="26"/>
  <c r="BB226" i="26"/>
  <c r="BC226" i="26"/>
  <c r="BD226" i="26"/>
  <c r="BE226" i="26"/>
  <c r="BF226" i="26"/>
  <c r="BG226" i="26"/>
  <c r="I227" i="26"/>
  <c r="J227" i="26"/>
  <c r="K227" i="26"/>
  <c r="L227" i="26"/>
  <c r="M227" i="26"/>
  <c r="N227" i="26"/>
  <c r="O227" i="26"/>
  <c r="P227" i="26"/>
  <c r="Q227" i="26"/>
  <c r="R227" i="26"/>
  <c r="S227" i="26"/>
  <c r="T227" i="26"/>
  <c r="U227" i="26"/>
  <c r="V227" i="26"/>
  <c r="W227" i="26"/>
  <c r="X227" i="26"/>
  <c r="Y227" i="26"/>
  <c r="Z227" i="26"/>
  <c r="AA227" i="26"/>
  <c r="AB227" i="26"/>
  <c r="AC227" i="26"/>
  <c r="AD227" i="26"/>
  <c r="AE227" i="26"/>
  <c r="AF227" i="26"/>
  <c r="AG227" i="26"/>
  <c r="AH227" i="26"/>
  <c r="AI227" i="26"/>
  <c r="AJ227" i="26"/>
  <c r="AK227" i="26"/>
  <c r="AL227" i="26"/>
  <c r="AM227" i="26"/>
  <c r="AN227" i="26"/>
  <c r="AO227" i="26"/>
  <c r="AP227" i="26"/>
  <c r="AQ227" i="26"/>
  <c r="AR227" i="26"/>
  <c r="AS227" i="26"/>
  <c r="AT227" i="26"/>
  <c r="AU227" i="26"/>
  <c r="AV227" i="26"/>
  <c r="AW227" i="26"/>
  <c r="AX227" i="26"/>
  <c r="AY227" i="26"/>
  <c r="AZ227" i="26"/>
  <c r="BA227" i="26"/>
  <c r="BB227" i="26"/>
  <c r="BC227" i="26"/>
  <c r="BD227" i="26"/>
  <c r="BE227" i="26"/>
  <c r="BF227" i="26"/>
  <c r="BG227" i="26"/>
  <c r="I228" i="26"/>
  <c r="J228" i="26"/>
  <c r="K228" i="26"/>
  <c r="L228" i="26"/>
  <c r="M228" i="26"/>
  <c r="N228" i="26"/>
  <c r="O228" i="26"/>
  <c r="P228" i="26"/>
  <c r="Q228" i="26"/>
  <c r="R228" i="26"/>
  <c r="S228" i="26"/>
  <c r="T228" i="26"/>
  <c r="U228" i="26"/>
  <c r="V228" i="26"/>
  <c r="W228" i="26"/>
  <c r="X228" i="26"/>
  <c r="Y228" i="26"/>
  <c r="Z228" i="26"/>
  <c r="AA228" i="26"/>
  <c r="AB228" i="26"/>
  <c r="AC228" i="26"/>
  <c r="AD228" i="26"/>
  <c r="AE228" i="26"/>
  <c r="AF228" i="26"/>
  <c r="AG228" i="26"/>
  <c r="AH228" i="26"/>
  <c r="AI228" i="26"/>
  <c r="AJ228" i="26"/>
  <c r="AK228" i="26"/>
  <c r="AL228" i="26"/>
  <c r="AM228" i="26"/>
  <c r="AN228" i="26"/>
  <c r="AO228" i="26"/>
  <c r="AP228" i="26"/>
  <c r="AQ228" i="26"/>
  <c r="AR228" i="26"/>
  <c r="AS228" i="26"/>
  <c r="AT228" i="26"/>
  <c r="AU228" i="26"/>
  <c r="AV228" i="26"/>
  <c r="AW228" i="26"/>
  <c r="AX228" i="26"/>
  <c r="AY228" i="26"/>
  <c r="AZ228" i="26"/>
  <c r="BA228" i="26"/>
  <c r="BB228" i="26"/>
  <c r="BC228" i="26"/>
  <c r="BD228" i="26"/>
  <c r="BE228" i="26"/>
  <c r="BF228" i="26"/>
  <c r="BG228" i="26"/>
  <c r="I229" i="26"/>
  <c r="J229" i="26"/>
  <c r="K229" i="26"/>
  <c r="L229" i="26"/>
  <c r="M229" i="26"/>
  <c r="N229" i="26"/>
  <c r="O229" i="26"/>
  <c r="P229" i="26"/>
  <c r="Q229" i="26"/>
  <c r="R229" i="26"/>
  <c r="S229" i="26"/>
  <c r="T229" i="26"/>
  <c r="U229" i="26"/>
  <c r="V229" i="26"/>
  <c r="W229" i="26"/>
  <c r="X229" i="26"/>
  <c r="Y229" i="26"/>
  <c r="Z229" i="26"/>
  <c r="AA229" i="26"/>
  <c r="AB229" i="26"/>
  <c r="AC229" i="26"/>
  <c r="AD229" i="26"/>
  <c r="AE229" i="26"/>
  <c r="AF229" i="26"/>
  <c r="AG229" i="26"/>
  <c r="AH229" i="26"/>
  <c r="AI229" i="26"/>
  <c r="AJ229" i="26"/>
  <c r="AK229" i="26"/>
  <c r="AL229" i="26"/>
  <c r="AM229" i="26"/>
  <c r="AN229" i="26"/>
  <c r="AO229" i="26"/>
  <c r="AP229" i="26"/>
  <c r="AQ229" i="26"/>
  <c r="AR229" i="26"/>
  <c r="AS229" i="26"/>
  <c r="AT229" i="26"/>
  <c r="AU229" i="26"/>
  <c r="AV229" i="26"/>
  <c r="AW229" i="26"/>
  <c r="AX229" i="26"/>
  <c r="AY229" i="26"/>
  <c r="AZ229" i="26"/>
  <c r="BA229" i="26"/>
  <c r="BB229" i="26"/>
  <c r="BC229" i="26"/>
  <c r="BD229" i="26"/>
  <c r="BE229" i="26"/>
  <c r="BF229" i="26"/>
  <c r="BG229" i="26"/>
  <c r="I230" i="26"/>
  <c r="J230" i="26"/>
  <c r="K230" i="26"/>
  <c r="L230" i="26"/>
  <c r="M230" i="26"/>
  <c r="N230" i="26"/>
  <c r="O230" i="26"/>
  <c r="P230" i="26"/>
  <c r="Q230" i="26"/>
  <c r="R230" i="26"/>
  <c r="S230" i="26"/>
  <c r="T230" i="26"/>
  <c r="U230" i="26"/>
  <c r="V230" i="26"/>
  <c r="W230" i="26"/>
  <c r="X230" i="26"/>
  <c r="Y230" i="26"/>
  <c r="Z230" i="26"/>
  <c r="AA230" i="26"/>
  <c r="AB230" i="26"/>
  <c r="AC230" i="26"/>
  <c r="AD230" i="26"/>
  <c r="AE230" i="26"/>
  <c r="AF230" i="26"/>
  <c r="AG230" i="26"/>
  <c r="AH230" i="26"/>
  <c r="AI230" i="26"/>
  <c r="AJ230" i="26"/>
  <c r="AK230" i="26"/>
  <c r="AL230" i="26"/>
  <c r="AM230" i="26"/>
  <c r="AN230" i="26"/>
  <c r="AO230" i="26"/>
  <c r="AP230" i="26"/>
  <c r="AQ230" i="26"/>
  <c r="AR230" i="26"/>
  <c r="AS230" i="26"/>
  <c r="AT230" i="26"/>
  <c r="AU230" i="26"/>
  <c r="AV230" i="26"/>
  <c r="AW230" i="26"/>
  <c r="AX230" i="26"/>
  <c r="AY230" i="26"/>
  <c r="AZ230" i="26"/>
  <c r="BA230" i="26"/>
  <c r="BB230" i="26"/>
  <c r="BC230" i="26"/>
  <c r="BD230" i="26"/>
  <c r="BE230" i="26"/>
  <c r="BF230" i="26"/>
  <c r="BG230" i="26"/>
  <c r="I231" i="26"/>
  <c r="J231" i="26"/>
  <c r="K231" i="26"/>
  <c r="L231" i="26"/>
  <c r="M231" i="26"/>
  <c r="N231" i="26"/>
  <c r="O231" i="26"/>
  <c r="P231" i="26"/>
  <c r="Q231" i="26"/>
  <c r="R231" i="26"/>
  <c r="S231" i="26"/>
  <c r="T231" i="26"/>
  <c r="U231" i="26"/>
  <c r="V231" i="26"/>
  <c r="W231" i="26"/>
  <c r="X231" i="26"/>
  <c r="Y231" i="26"/>
  <c r="Z231" i="26"/>
  <c r="AA231" i="26"/>
  <c r="AB231" i="26"/>
  <c r="AC231" i="26"/>
  <c r="AD231" i="26"/>
  <c r="AE231" i="26"/>
  <c r="AF231" i="26"/>
  <c r="AG231" i="26"/>
  <c r="AH231" i="26"/>
  <c r="AI231" i="26"/>
  <c r="AJ231" i="26"/>
  <c r="AK231" i="26"/>
  <c r="AL231" i="26"/>
  <c r="AM231" i="26"/>
  <c r="AN231" i="26"/>
  <c r="AO231" i="26"/>
  <c r="AP231" i="26"/>
  <c r="AQ231" i="26"/>
  <c r="AR231" i="26"/>
  <c r="AS231" i="26"/>
  <c r="AT231" i="26"/>
  <c r="AU231" i="26"/>
  <c r="AV231" i="26"/>
  <c r="AW231" i="26"/>
  <c r="AX231" i="26"/>
  <c r="AY231" i="26"/>
  <c r="AZ231" i="26"/>
  <c r="BA231" i="26"/>
  <c r="BB231" i="26"/>
  <c r="BC231" i="26"/>
  <c r="BD231" i="26"/>
  <c r="BE231" i="26"/>
  <c r="BF231" i="26"/>
  <c r="BG231" i="26"/>
  <c r="I232" i="26"/>
  <c r="J232" i="26"/>
  <c r="K232" i="26"/>
  <c r="L232" i="26"/>
  <c r="M232" i="26"/>
  <c r="N232" i="26"/>
  <c r="O232" i="26"/>
  <c r="P232" i="26"/>
  <c r="Q232" i="26"/>
  <c r="R232" i="26"/>
  <c r="S232" i="26"/>
  <c r="T232" i="26"/>
  <c r="U232" i="26"/>
  <c r="V232" i="26"/>
  <c r="W232" i="26"/>
  <c r="X232" i="26"/>
  <c r="Y232" i="26"/>
  <c r="Z232" i="26"/>
  <c r="AA232" i="26"/>
  <c r="AB232" i="26"/>
  <c r="AC232" i="26"/>
  <c r="AD232" i="26"/>
  <c r="AE232" i="26"/>
  <c r="AF232" i="26"/>
  <c r="AG232" i="26"/>
  <c r="AH232" i="26"/>
  <c r="AI232" i="26"/>
  <c r="AJ232" i="26"/>
  <c r="AK232" i="26"/>
  <c r="AL232" i="26"/>
  <c r="AM232" i="26"/>
  <c r="AN232" i="26"/>
  <c r="AO232" i="26"/>
  <c r="AP232" i="26"/>
  <c r="AQ232" i="26"/>
  <c r="AR232" i="26"/>
  <c r="AS232" i="26"/>
  <c r="AT232" i="26"/>
  <c r="AU232" i="26"/>
  <c r="AV232" i="26"/>
  <c r="AW232" i="26"/>
  <c r="AX232" i="26"/>
  <c r="AY232" i="26"/>
  <c r="AZ232" i="26"/>
  <c r="BA232" i="26"/>
  <c r="BB232" i="26"/>
  <c r="BC232" i="26"/>
  <c r="BD232" i="26"/>
  <c r="BE232" i="26"/>
  <c r="BF232" i="26"/>
  <c r="BG232" i="26"/>
  <c r="I233" i="26"/>
  <c r="J233" i="26"/>
  <c r="K233" i="26"/>
  <c r="L233" i="26"/>
  <c r="M233" i="26"/>
  <c r="N233" i="26"/>
  <c r="O233" i="26"/>
  <c r="P233" i="26"/>
  <c r="Q233" i="26"/>
  <c r="R233" i="26"/>
  <c r="S233" i="26"/>
  <c r="T233" i="26"/>
  <c r="U233" i="26"/>
  <c r="V233" i="26"/>
  <c r="W233" i="26"/>
  <c r="X233" i="26"/>
  <c r="Y233" i="26"/>
  <c r="Z233" i="26"/>
  <c r="AA233" i="26"/>
  <c r="AB233" i="26"/>
  <c r="AC233" i="26"/>
  <c r="AD233" i="26"/>
  <c r="AE233" i="26"/>
  <c r="AF233" i="26"/>
  <c r="AG233" i="26"/>
  <c r="AH233" i="26"/>
  <c r="AI233" i="26"/>
  <c r="AJ233" i="26"/>
  <c r="AK233" i="26"/>
  <c r="AL233" i="26"/>
  <c r="AM233" i="26"/>
  <c r="AN233" i="26"/>
  <c r="AO233" i="26"/>
  <c r="AP233" i="26"/>
  <c r="AQ233" i="26"/>
  <c r="AR233" i="26"/>
  <c r="AS233" i="26"/>
  <c r="AT233" i="26"/>
  <c r="AU233" i="26"/>
  <c r="AV233" i="26"/>
  <c r="AW233" i="26"/>
  <c r="AX233" i="26"/>
  <c r="AY233" i="26"/>
  <c r="AZ233" i="26"/>
  <c r="BA233" i="26"/>
  <c r="BB233" i="26"/>
  <c r="BC233" i="26"/>
  <c r="BD233" i="26"/>
  <c r="BE233" i="26"/>
  <c r="BF233" i="26"/>
  <c r="BG233" i="26"/>
  <c r="I234" i="26"/>
  <c r="J234" i="26"/>
  <c r="K234" i="26"/>
  <c r="L234" i="26"/>
  <c r="M234" i="26"/>
  <c r="N234" i="26"/>
  <c r="O234" i="26"/>
  <c r="P234" i="26"/>
  <c r="Q234" i="26"/>
  <c r="R234" i="26"/>
  <c r="S234" i="26"/>
  <c r="T234" i="26"/>
  <c r="U234" i="26"/>
  <c r="V234" i="26"/>
  <c r="W234" i="26"/>
  <c r="X234" i="26"/>
  <c r="Y234" i="26"/>
  <c r="Z234" i="26"/>
  <c r="AA234" i="26"/>
  <c r="AB234" i="26"/>
  <c r="AC234" i="26"/>
  <c r="AD234" i="26"/>
  <c r="AE234" i="26"/>
  <c r="AF234" i="26"/>
  <c r="AG234" i="26"/>
  <c r="AH234" i="26"/>
  <c r="AI234" i="26"/>
  <c r="AJ234" i="26"/>
  <c r="AK234" i="26"/>
  <c r="AL234" i="26"/>
  <c r="AM234" i="26"/>
  <c r="AN234" i="26"/>
  <c r="AO234" i="26"/>
  <c r="AP234" i="26"/>
  <c r="AQ234" i="26"/>
  <c r="AR234" i="26"/>
  <c r="AS234" i="26"/>
  <c r="AT234" i="26"/>
  <c r="AU234" i="26"/>
  <c r="AV234" i="26"/>
  <c r="AW234" i="26"/>
  <c r="AX234" i="26"/>
  <c r="AY234" i="26"/>
  <c r="AZ234" i="26"/>
  <c r="BA234" i="26"/>
  <c r="BB234" i="26"/>
  <c r="BC234" i="26"/>
  <c r="BD234" i="26"/>
  <c r="BE234" i="26"/>
  <c r="BF234" i="26"/>
  <c r="BG234" i="26"/>
  <c r="I235" i="26"/>
  <c r="J235" i="26"/>
  <c r="K235" i="26"/>
  <c r="L235" i="26"/>
  <c r="M235" i="26"/>
  <c r="N235" i="26"/>
  <c r="O235" i="26"/>
  <c r="P235" i="26"/>
  <c r="Q235" i="26"/>
  <c r="R235" i="26"/>
  <c r="S235" i="26"/>
  <c r="T235" i="26"/>
  <c r="U235" i="26"/>
  <c r="V235" i="26"/>
  <c r="W235" i="26"/>
  <c r="X235" i="26"/>
  <c r="Y235" i="26"/>
  <c r="Z235" i="26"/>
  <c r="AA235" i="26"/>
  <c r="AB235" i="26"/>
  <c r="AC235" i="26"/>
  <c r="AD235" i="26"/>
  <c r="AE235" i="26"/>
  <c r="AF235" i="26"/>
  <c r="AG235" i="26"/>
  <c r="AH235" i="26"/>
  <c r="AI235" i="26"/>
  <c r="AJ235" i="26"/>
  <c r="AK235" i="26"/>
  <c r="AL235" i="26"/>
  <c r="AM235" i="26"/>
  <c r="AN235" i="26"/>
  <c r="AO235" i="26"/>
  <c r="AP235" i="26"/>
  <c r="AQ235" i="26"/>
  <c r="AR235" i="26"/>
  <c r="AS235" i="26"/>
  <c r="AT235" i="26"/>
  <c r="AU235" i="26"/>
  <c r="AV235" i="26"/>
  <c r="AW235" i="26"/>
  <c r="AX235" i="26"/>
  <c r="AY235" i="26"/>
  <c r="AZ235" i="26"/>
  <c r="BA235" i="26"/>
  <c r="BB235" i="26"/>
  <c r="BC235" i="26"/>
  <c r="BD235" i="26"/>
  <c r="BE235" i="26"/>
  <c r="BF235" i="26"/>
  <c r="BG235" i="26"/>
  <c r="I236" i="26"/>
  <c r="J236" i="26"/>
  <c r="K236" i="26"/>
  <c r="L236" i="26"/>
  <c r="M236" i="26"/>
  <c r="N236" i="26"/>
  <c r="O236" i="26"/>
  <c r="P236" i="26"/>
  <c r="Q236" i="26"/>
  <c r="R236" i="26"/>
  <c r="S236" i="26"/>
  <c r="T236" i="26"/>
  <c r="U236" i="26"/>
  <c r="V236" i="26"/>
  <c r="W236" i="26"/>
  <c r="X236" i="26"/>
  <c r="Y236" i="26"/>
  <c r="Z236" i="26"/>
  <c r="AA236" i="26"/>
  <c r="AB236" i="26"/>
  <c r="AC236" i="26"/>
  <c r="AD236" i="26"/>
  <c r="AE236" i="26"/>
  <c r="AF236" i="26"/>
  <c r="AG236" i="26"/>
  <c r="AH236" i="26"/>
  <c r="AI236" i="26"/>
  <c r="AJ236" i="26"/>
  <c r="AK236" i="26"/>
  <c r="AL236" i="26"/>
  <c r="AM236" i="26"/>
  <c r="AN236" i="26"/>
  <c r="AO236" i="26"/>
  <c r="AP236" i="26"/>
  <c r="AQ236" i="26"/>
  <c r="AR236" i="26"/>
  <c r="AS236" i="26"/>
  <c r="AT236" i="26"/>
  <c r="AU236" i="26"/>
  <c r="AV236" i="26"/>
  <c r="AW236" i="26"/>
  <c r="AX236" i="26"/>
  <c r="AY236" i="26"/>
  <c r="AZ236" i="26"/>
  <c r="BA236" i="26"/>
  <c r="BB236" i="26"/>
  <c r="BC236" i="26"/>
  <c r="BD236" i="26"/>
  <c r="BE236" i="26"/>
  <c r="BF236" i="26"/>
  <c r="BG236" i="26"/>
  <c r="I237" i="26"/>
  <c r="J237" i="26"/>
  <c r="K237" i="26"/>
  <c r="L237" i="26"/>
  <c r="M237" i="26"/>
  <c r="N237" i="26"/>
  <c r="O237" i="26"/>
  <c r="P237" i="26"/>
  <c r="Q237" i="26"/>
  <c r="R237" i="26"/>
  <c r="S237" i="26"/>
  <c r="T237" i="26"/>
  <c r="U237" i="26"/>
  <c r="V237" i="26"/>
  <c r="W237" i="26"/>
  <c r="X237" i="26"/>
  <c r="Y237" i="26"/>
  <c r="Z237" i="26"/>
  <c r="AA237" i="26"/>
  <c r="AB237" i="26"/>
  <c r="AC237" i="26"/>
  <c r="AD237" i="26"/>
  <c r="AE237" i="26"/>
  <c r="AF237" i="26"/>
  <c r="AG237" i="26"/>
  <c r="AH237" i="26"/>
  <c r="AI237" i="26"/>
  <c r="AJ237" i="26"/>
  <c r="AK237" i="26"/>
  <c r="AL237" i="26"/>
  <c r="AM237" i="26"/>
  <c r="AN237" i="26"/>
  <c r="AO237" i="26"/>
  <c r="AP237" i="26"/>
  <c r="AQ237" i="26"/>
  <c r="AR237" i="26"/>
  <c r="AS237" i="26"/>
  <c r="AT237" i="26"/>
  <c r="AU237" i="26"/>
  <c r="AV237" i="26"/>
  <c r="AW237" i="26"/>
  <c r="AX237" i="26"/>
  <c r="AY237" i="26"/>
  <c r="AZ237" i="26"/>
  <c r="BA237" i="26"/>
  <c r="BB237" i="26"/>
  <c r="BC237" i="26"/>
  <c r="BD237" i="26"/>
  <c r="BE237" i="26"/>
  <c r="BF237" i="26"/>
  <c r="BG237" i="26"/>
  <c r="I238" i="26"/>
  <c r="J238" i="26"/>
  <c r="K238" i="26"/>
  <c r="L238" i="26"/>
  <c r="M238" i="26"/>
  <c r="N238" i="26"/>
  <c r="O238" i="26"/>
  <c r="P238" i="26"/>
  <c r="Q238" i="26"/>
  <c r="R238" i="26"/>
  <c r="S238" i="26"/>
  <c r="T238" i="26"/>
  <c r="U238" i="26"/>
  <c r="V238" i="26"/>
  <c r="W238" i="26"/>
  <c r="X238" i="26"/>
  <c r="Y238" i="26"/>
  <c r="Z238" i="26"/>
  <c r="AA238" i="26"/>
  <c r="AB238" i="26"/>
  <c r="AC238" i="26"/>
  <c r="AD238" i="26"/>
  <c r="AE238" i="26"/>
  <c r="AF238" i="26"/>
  <c r="AG238" i="26"/>
  <c r="AH238" i="26"/>
  <c r="AI238" i="26"/>
  <c r="AJ238" i="26"/>
  <c r="AK238" i="26"/>
  <c r="AL238" i="26"/>
  <c r="AM238" i="26"/>
  <c r="AN238" i="26"/>
  <c r="AO238" i="26"/>
  <c r="AP238" i="26"/>
  <c r="AQ238" i="26"/>
  <c r="AR238" i="26"/>
  <c r="AS238" i="26"/>
  <c r="AT238" i="26"/>
  <c r="AU238" i="26"/>
  <c r="AV238" i="26"/>
  <c r="AW238" i="26"/>
  <c r="AX238" i="26"/>
  <c r="AY238" i="26"/>
  <c r="AZ238" i="26"/>
  <c r="BA238" i="26"/>
  <c r="BB238" i="26"/>
  <c r="BC238" i="26"/>
  <c r="BD238" i="26"/>
  <c r="BE238" i="26"/>
  <c r="BF238" i="26"/>
  <c r="BG238" i="26"/>
  <c r="I239" i="26"/>
  <c r="J239" i="26"/>
  <c r="K239" i="26"/>
  <c r="L239" i="26"/>
  <c r="M239" i="26"/>
  <c r="N239" i="26"/>
  <c r="O239" i="26"/>
  <c r="P239" i="26"/>
  <c r="Q239" i="26"/>
  <c r="R239" i="26"/>
  <c r="S239" i="26"/>
  <c r="T239" i="26"/>
  <c r="U239" i="26"/>
  <c r="V239" i="26"/>
  <c r="W239" i="26"/>
  <c r="X239" i="26"/>
  <c r="Y239" i="26"/>
  <c r="Z239" i="26"/>
  <c r="AA239" i="26"/>
  <c r="AB239" i="26"/>
  <c r="AC239" i="26"/>
  <c r="AD239" i="26"/>
  <c r="AE239" i="26"/>
  <c r="AF239" i="26"/>
  <c r="AG239" i="26"/>
  <c r="AH239" i="26"/>
  <c r="AI239" i="26"/>
  <c r="AJ239" i="26"/>
  <c r="AK239" i="26"/>
  <c r="AL239" i="26"/>
  <c r="AM239" i="26"/>
  <c r="AN239" i="26"/>
  <c r="AO239" i="26"/>
  <c r="AP239" i="26"/>
  <c r="AQ239" i="26"/>
  <c r="AR239" i="26"/>
  <c r="AS239" i="26"/>
  <c r="AT239" i="26"/>
  <c r="AU239" i="26"/>
  <c r="AV239" i="26"/>
  <c r="AW239" i="26"/>
  <c r="AX239" i="26"/>
  <c r="AY239" i="26"/>
  <c r="AZ239" i="26"/>
  <c r="BA239" i="26"/>
  <c r="BB239" i="26"/>
  <c r="BC239" i="26"/>
  <c r="BD239" i="26"/>
  <c r="BE239" i="26"/>
  <c r="BF239" i="26"/>
  <c r="BG239" i="26"/>
  <c r="I240" i="26"/>
  <c r="J240" i="26"/>
  <c r="K240" i="26"/>
  <c r="L240" i="26"/>
  <c r="M240" i="26"/>
  <c r="N240" i="26"/>
  <c r="O240" i="26"/>
  <c r="P240" i="26"/>
  <c r="Q240" i="26"/>
  <c r="R240" i="26"/>
  <c r="S240" i="26"/>
  <c r="T240" i="26"/>
  <c r="U240" i="26"/>
  <c r="V240" i="26"/>
  <c r="W240" i="26"/>
  <c r="X240" i="26"/>
  <c r="Y240" i="26"/>
  <c r="Z240" i="26"/>
  <c r="AA240" i="26"/>
  <c r="AB240" i="26"/>
  <c r="AC240" i="26"/>
  <c r="AD240" i="26"/>
  <c r="AE240" i="26"/>
  <c r="AF240" i="26"/>
  <c r="AG240" i="26"/>
  <c r="AH240" i="26"/>
  <c r="AI240" i="26"/>
  <c r="AJ240" i="26"/>
  <c r="AK240" i="26"/>
  <c r="AL240" i="26"/>
  <c r="AM240" i="26"/>
  <c r="AN240" i="26"/>
  <c r="AO240" i="26"/>
  <c r="AP240" i="26"/>
  <c r="AQ240" i="26"/>
  <c r="AR240" i="26"/>
  <c r="AS240" i="26"/>
  <c r="AT240" i="26"/>
  <c r="AU240" i="26"/>
  <c r="AV240" i="26"/>
  <c r="AW240" i="26"/>
  <c r="AX240" i="26"/>
  <c r="AY240" i="26"/>
  <c r="AZ240" i="26"/>
  <c r="BA240" i="26"/>
  <c r="BB240" i="26"/>
  <c r="BC240" i="26"/>
  <c r="BD240" i="26"/>
  <c r="BE240" i="26"/>
  <c r="BF240" i="26"/>
  <c r="BG240" i="26"/>
  <c r="I241" i="26"/>
  <c r="J241" i="26"/>
  <c r="K241" i="26"/>
  <c r="L241" i="26"/>
  <c r="M241" i="26"/>
  <c r="N241" i="26"/>
  <c r="O241" i="26"/>
  <c r="P241" i="26"/>
  <c r="Q241" i="26"/>
  <c r="R241" i="26"/>
  <c r="S241" i="26"/>
  <c r="T241" i="26"/>
  <c r="U241" i="26"/>
  <c r="V241" i="26"/>
  <c r="W241" i="26"/>
  <c r="X241" i="26"/>
  <c r="Y241" i="26"/>
  <c r="Z241" i="26"/>
  <c r="AA241" i="26"/>
  <c r="AB241" i="26"/>
  <c r="AC241" i="26"/>
  <c r="AD241" i="26"/>
  <c r="AE241" i="26"/>
  <c r="AF241" i="26"/>
  <c r="AG241" i="26"/>
  <c r="AH241" i="26"/>
  <c r="AI241" i="26"/>
  <c r="AJ241" i="26"/>
  <c r="AK241" i="26"/>
  <c r="AL241" i="26"/>
  <c r="AM241" i="26"/>
  <c r="AN241" i="26"/>
  <c r="AO241" i="26"/>
  <c r="AP241" i="26"/>
  <c r="AQ241" i="26"/>
  <c r="AR241" i="26"/>
  <c r="AS241" i="26"/>
  <c r="AT241" i="26"/>
  <c r="AU241" i="26"/>
  <c r="AV241" i="26"/>
  <c r="AW241" i="26"/>
  <c r="AX241" i="26"/>
  <c r="AY241" i="26"/>
  <c r="AZ241" i="26"/>
  <c r="BA241" i="26"/>
  <c r="BB241" i="26"/>
  <c r="BC241" i="26"/>
  <c r="BD241" i="26"/>
  <c r="BE241" i="26"/>
  <c r="BF241" i="26"/>
  <c r="BG241" i="26"/>
  <c r="I242" i="26"/>
  <c r="J242" i="26"/>
  <c r="K242" i="26"/>
  <c r="L242" i="26"/>
  <c r="M242" i="26"/>
  <c r="N242" i="26"/>
  <c r="O242" i="26"/>
  <c r="P242" i="26"/>
  <c r="Q242" i="26"/>
  <c r="R242" i="26"/>
  <c r="S242" i="26"/>
  <c r="T242" i="26"/>
  <c r="U242" i="26"/>
  <c r="V242" i="26"/>
  <c r="W242" i="26"/>
  <c r="X242" i="26"/>
  <c r="Y242" i="26"/>
  <c r="Z242" i="26"/>
  <c r="AA242" i="26"/>
  <c r="AB242" i="26"/>
  <c r="AC242" i="26"/>
  <c r="AD242" i="26"/>
  <c r="AE242" i="26"/>
  <c r="AF242" i="26"/>
  <c r="AG242" i="26"/>
  <c r="AH242" i="26"/>
  <c r="AI242" i="26"/>
  <c r="AJ242" i="26"/>
  <c r="AK242" i="26"/>
  <c r="AL242" i="26"/>
  <c r="AM242" i="26"/>
  <c r="AN242" i="26"/>
  <c r="AO242" i="26"/>
  <c r="AP242" i="26"/>
  <c r="AQ242" i="26"/>
  <c r="AR242" i="26"/>
  <c r="AS242" i="26"/>
  <c r="AT242" i="26"/>
  <c r="AU242" i="26"/>
  <c r="AV242" i="26"/>
  <c r="AW242" i="26"/>
  <c r="AX242" i="26"/>
  <c r="AY242" i="26"/>
  <c r="AZ242" i="26"/>
  <c r="BA242" i="26"/>
  <c r="BB242" i="26"/>
  <c r="BC242" i="26"/>
  <c r="BD242" i="26"/>
  <c r="BE242" i="26"/>
  <c r="BF242" i="26"/>
  <c r="BG242" i="26"/>
  <c r="I243" i="26"/>
  <c r="J243" i="26"/>
  <c r="K243" i="26"/>
  <c r="L243" i="26"/>
  <c r="M243" i="26"/>
  <c r="N243" i="26"/>
  <c r="O243" i="26"/>
  <c r="P243" i="26"/>
  <c r="Q243" i="26"/>
  <c r="R243" i="26"/>
  <c r="S243" i="26"/>
  <c r="T243" i="26"/>
  <c r="U243" i="26"/>
  <c r="V243" i="26"/>
  <c r="W243" i="26"/>
  <c r="X243" i="26"/>
  <c r="Y243" i="26"/>
  <c r="Z243" i="26"/>
  <c r="AA243" i="26"/>
  <c r="AB243" i="26"/>
  <c r="AC243" i="26"/>
  <c r="AD243" i="26"/>
  <c r="AE243" i="26"/>
  <c r="AF243" i="26"/>
  <c r="AG243" i="26"/>
  <c r="AH243" i="26"/>
  <c r="AI243" i="26"/>
  <c r="AJ243" i="26"/>
  <c r="AK243" i="26"/>
  <c r="AL243" i="26"/>
  <c r="AM243" i="26"/>
  <c r="AN243" i="26"/>
  <c r="AO243" i="26"/>
  <c r="AP243" i="26"/>
  <c r="AQ243" i="26"/>
  <c r="AR243" i="26"/>
  <c r="AS243" i="26"/>
  <c r="AT243" i="26"/>
  <c r="AU243" i="26"/>
  <c r="AV243" i="26"/>
  <c r="AW243" i="26"/>
  <c r="AX243" i="26"/>
  <c r="AY243" i="26"/>
  <c r="AZ243" i="26"/>
  <c r="BA243" i="26"/>
  <c r="BB243" i="26"/>
  <c r="BC243" i="26"/>
  <c r="BD243" i="26"/>
  <c r="BE243" i="26"/>
  <c r="BF243" i="26"/>
  <c r="BG243" i="26"/>
  <c r="I244" i="26"/>
  <c r="J244" i="26"/>
  <c r="K244" i="26"/>
  <c r="L244" i="26"/>
  <c r="M244" i="26"/>
  <c r="N244" i="26"/>
  <c r="O244" i="26"/>
  <c r="P244" i="26"/>
  <c r="Q244" i="26"/>
  <c r="R244" i="26"/>
  <c r="S244" i="26"/>
  <c r="T244" i="26"/>
  <c r="U244" i="26"/>
  <c r="V244" i="26"/>
  <c r="W244" i="26"/>
  <c r="X244" i="26"/>
  <c r="Y244" i="26"/>
  <c r="Z244" i="26"/>
  <c r="AA244" i="26"/>
  <c r="AB244" i="26"/>
  <c r="AC244" i="26"/>
  <c r="AD244" i="26"/>
  <c r="AE244" i="26"/>
  <c r="AF244" i="26"/>
  <c r="AG244" i="26"/>
  <c r="AH244" i="26"/>
  <c r="AI244" i="26"/>
  <c r="AJ244" i="26"/>
  <c r="AK244" i="26"/>
  <c r="AL244" i="26"/>
  <c r="AM244" i="26"/>
  <c r="AN244" i="26"/>
  <c r="AO244" i="26"/>
  <c r="AP244" i="26"/>
  <c r="AQ244" i="26"/>
  <c r="AR244" i="26"/>
  <c r="AS244" i="26"/>
  <c r="AT244" i="26"/>
  <c r="AU244" i="26"/>
  <c r="AV244" i="26"/>
  <c r="AW244" i="26"/>
  <c r="AX244" i="26"/>
  <c r="AY244" i="26"/>
  <c r="AZ244" i="26"/>
  <c r="BA244" i="26"/>
  <c r="BB244" i="26"/>
  <c r="BC244" i="26"/>
  <c r="BD244" i="26"/>
  <c r="BE244" i="26"/>
  <c r="BF244" i="26"/>
  <c r="BG244" i="26"/>
  <c r="I245" i="26"/>
  <c r="J245" i="26"/>
  <c r="K245" i="26"/>
  <c r="L245" i="26"/>
  <c r="M245" i="26"/>
  <c r="N245" i="26"/>
  <c r="O245" i="26"/>
  <c r="P245" i="26"/>
  <c r="Q245" i="26"/>
  <c r="R245" i="26"/>
  <c r="S245" i="26"/>
  <c r="T245" i="26"/>
  <c r="U245" i="26"/>
  <c r="V245" i="26"/>
  <c r="W245" i="26"/>
  <c r="X245" i="26"/>
  <c r="Y245" i="26"/>
  <c r="Z245" i="26"/>
  <c r="AA245" i="26"/>
  <c r="AB245" i="26"/>
  <c r="AC245" i="26"/>
  <c r="AD245" i="26"/>
  <c r="AE245" i="26"/>
  <c r="AF245" i="26"/>
  <c r="AG245" i="26"/>
  <c r="AH245" i="26"/>
  <c r="AI245" i="26"/>
  <c r="AJ245" i="26"/>
  <c r="AK245" i="26"/>
  <c r="AL245" i="26"/>
  <c r="AM245" i="26"/>
  <c r="AN245" i="26"/>
  <c r="AO245" i="26"/>
  <c r="AP245" i="26"/>
  <c r="AQ245" i="26"/>
  <c r="AR245" i="26"/>
  <c r="AS245" i="26"/>
  <c r="AT245" i="26"/>
  <c r="AU245" i="26"/>
  <c r="AV245" i="26"/>
  <c r="AW245" i="26"/>
  <c r="AX245" i="26"/>
  <c r="AY245" i="26"/>
  <c r="AZ245" i="26"/>
  <c r="BA245" i="26"/>
  <c r="BB245" i="26"/>
  <c r="BC245" i="26"/>
  <c r="BD245" i="26"/>
  <c r="BE245" i="26"/>
  <c r="BF245" i="26"/>
  <c r="BG245" i="26"/>
  <c r="I246" i="26"/>
  <c r="J246" i="26"/>
  <c r="K246" i="26"/>
  <c r="L246" i="26"/>
  <c r="M246" i="26"/>
  <c r="N246" i="26"/>
  <c r="O246" i="26"/>
  <c r="P246" i="26"/>
  <c r="Q246" i="26"/>
  <c r="R246" i="26"/>
  <c r="S246" i="26"/>
  <c r="T246" i="26"/>
  <c r="U246" i="26"/>
  <c r="V246" i="26"/>
  <c r="W246" i="26"/>
  <c r="X246" i="26"/>
  <c r="Y246" i="26"/>
  <c r="Z246" i="26"/>
  <c r="AA246" i="26"/>
  <c r="AB246" i="26"/>
  <c r="AC246" i="26"/>
  <c r="AD246" i="26"/>
  <c r="AE246" i="26"/>
  <c r="AF246" i="26"/>
  <c r="AG246" i="26"/>
  <c r="AH246" i="26"/>
  <c r="AI246" i="26"/>
  <c r="AJ246" i="26"/>
  <c r="AK246" i="26"/>
  <c r="AL246" i="26"/>
  <c r="AM246" i="26"/>
  <c r="AN246" i="26"/>
  <c r="AO246" i="26"/>
  <c r="AP246" i="26"/>
  <c r="AQ246" i="26"/>
  <c r="AR246" i="26"/>
  <c r="AS246" i="26"/>
  <c r="AT246" i="26"/>
  <c r="AU246" i="26"/>
  <c r="AV246" i="26"/>
  <c r="AW246" i="26"/>
  <c r="AX246" i="26"/>
  <c r="AY246" i="26"/>
  <c r="AZ246" i="26"/>
  <c r="BA246" i="26"/>
  <c r="BB246" i="26"/>
  <c r="BC246" i="26"/>
  <c r="BD246" i="26"/>
  <c r="BE246" i="26"/>
  <c r="BF246" i="26"/>
  <c r="BG246" i="26"/>
  <c r="I247" i="26"/>
  <c r="J247" i="26"/>
  <c r="K247" i="26"/>
  <c r="L247" i="26"/>
  <c r="M247" i="26"/>
  <c r="N247" i="26"/>
  <c r="O247" i="26"/>
  <c r="P247" i="26"/>
  <c r="Q247" i="26"/>
  <c r="R247" i="26"/>
  <c r="S247" i="26"/>
  <c r="T247" i="26"/>
  <c r="U247" i="26"/>
  <c r="V247" i="26"/>
  <c r="W247" i="26"/>
  <c r="X247" i="26"/>
  <c r="Y247" i="26"/>
  <c r="Z247" i="26"/>
  <c r="AA247" i="26"/>
  <c r="AB247" i="26"/>
  <c r="AC247" i="26"/>
  <c r="AD247" i="26"/>
  <c r="AE247" i="26"/>
  <c r="AF247" i="26"/>
  <c r="AG247" i="26"/>
  <c r="AH247" i="26"/>
  <c r="AI247" i="26"/>
  <c r="AJ247" i="26"/>
  <c r="AK247" i="26"/>
  <c r="AL247" i="26"/>
  <c r="AM247" i="26"/>
  <c r="AN247" i="26"/>
  <c r="AO247" i="26"/>
  <c r="AP247" i="26"/>
  <c r="AQ247" i="26"/>
  <c r="AR247" i="26"/>
  <c r="AS247" i="26"/>
  <c r="AT247" i="26"/>
  <c r="AU247" i="26"/>
  <c r="AV247" i="26"/>
  <c r="AW247" i="26"/>
  <c r="AX247" i="26"/>
  <c r="AY247" i="26"/>
  <c r="AZ247" i="26"/>
  <c r="BA247" i="26"/>
  <c r="BB247" i="26"/>
  <c r="BC247" i="26"/>
  <c r="BD247" i="26"/>
  <c r="BE247" i="26"/>
  <c r="BF247" i="26"/>
  <c r="BG247" i="26"/>
  <c r="I248" i="26"/>
  <c r="J248" i="26"/>
  <c r="K248" i="26"/>
  <c r="L248" i="26"/>
  <c r="M248" i="26"/>
  <c r="N248" i="26"/>
  <c r="O248" i="26"/>
  <c r="P248" i="26"/>
  <c r="Q248" i="26"/>
  <c r="R248" i="26"/>
  <c r="S248" i="26"/>
  <c r="T248" i="26"/>
  <c r="U248" i="26"/>
  <c r="V248" i="26"/>
  <c r="W248" i="26"/>
  <c r="X248" i="26"/>
  <c r="Y248" i="26"/>
  <c r="Z248" i="26"/>
  <c r="AA248" i="26"/>
  <c r="AB248" i="26"/>
  <c r="AC248" i="26"/>
  <c r="AD248" i="26"/>
  <c r="AE248" i="26"/>
  <c r="AF248" i="26"/>
  <c r="AG248" i="26"/>
  <c r="AH248" i="26"/>
  <c r="AI248" i="26"/>
  <c r="AJ248" i="26"/>
  <c r="AK248" i="26"/>
  <c r="AL248" i="26"/>
  <c r="AM248" i="26"/>
  <c r="AN248" i="26"/>
  <c r="AO248" i="26"/>
  <c r="AP248" i="26"/>
  <c r="AQ248" i="26"/>
  <c r="AR248" i="26"/>
  <c r="AS248" i="26"/>
  <c r="AT248" i="26"/>
  <c r="AU248" i="26"/>
  <c r="AV248" i="26"/>
  <c r="AW248" i="26"/>
  <c r="AX248" i="26"/>
  <c r="AY248" i="26"/>
  <c r="AZ248" i="26"/>
  <c r="BA248" i="26"/>
  <c r="BB248" i="26"/>
  <c r="BC248" i="26"/>
  <c r="BD248" i="26"/>
  <c r="BE248" i="26"/>
  <c r="BF248" i="26"/>
  <c r="BG248" i="26"/>
  <c r="I249" i="26"/>
  <c r="J249" i="26"/>
  <c r="K249" i="26"/>
  <c r="L249" i="26"/>
  <c r="M249" i="26"/>
  <c r="N249" i="26"/>
  <c r="O249" i="26"/>
  <c r="P249" i="26"/>
  <c r="Q249" i="26"/>
  <c r="R249" i="26"/>
  <c r="S249" i="26"/>
  <c r="T249" i="26"/>
  <c r="U249" i="26"/>
  <c r="V249" i="26"/>
  <c r="W249" i="26"/>
  <c r="X249" i="26"/>
  <c r="Y249" i="26"/>
  <c r="Z249" i="26"/>
  <c r="AA249" i="26"/>
  <c r="AB249" i="26"/>
  <c r="AC249" i="26"/>
  <c r="AD249" i="26"/>
  <c r="AE249" i="26"/>
  <c r="AF249" i="26"/>
  <c r="AG249" i="26"/>
  <c r="AH249" i="26"/>
  <c r="AI249" i="26"/>
  <c r="AJ249" i="26"/>
  <c r="AK249" i="26"/>
  <c r="AL249" i="26"/>
  <c r="AM249" i="26"/>
  <c r="AN249" i="26"/>
  <c r="AO249" i="26"/>
  <c r="AP249" i="26"/>
  <c r="AQ249" i="26"/>
  <c r="AR249" i="26"/>
  <c r="AS249" i="26"/>
  <c r="AT249" i="26"/>
  <c r="AU249" i="26"/>
  <c r="AV249" i="26"/>
  <c r="AW249" i="26"/>
  <c r="AX249" i="26"/>
  <c r="AY249" i="26"/>
  <c r="AZ249" i="26"/>
  <c r="BA249" i="26"/>
  <c r="BB249" i="26"/>
  <c r="BC249" i="26"/>
  <c r="BD249" i="26"/>
  <c r="BE249" i="26"/>
  <c r="BF249" i="26"/>
  <c r="BG249" i="26"/>
  <c r="I250" i="26"/>
  <c r="J250" i="26"/>
  <c r="K250" i="26"/>
  <c r="L250" i="26"/>
  <c r="M250" i="26"/>
  <c r="N250" i="26"/>
  <c r="O250" i="26"/>
  <c r="P250" i="26"/>
  <c r="Q250" i="26"/>
  <c r="R250" i="26"/>
  <c r="S250" i="26"/>
  <c r="T250" i="26"/>
  <c r="U250" i="26"/>
  <c r="V250" i="26"/>
  <c r="W250" i="26"/>
  <c r="X250" i="26"/>
  <c r="Y250" i="26"/>
  <c r="Z250" i="26"/>
  <c r="AA250" i="26"/>
  <c r="AB250" i="26"/>
  <c r="AC250" i="26"/>
  <c r="AD250" i="26"/>
  <c r="AE250" i="26"/>
  <c r="AF250" i="26"/>
  <c r="AG250" i="26"/>
  <c r="AH250" i="26"/>
  <c r="AI250" i="26"/>
  <c r="AJ250" i="26"/>
  <c r="AK250" i="26"/>
  <c r="AL250" i="26"/>
  <c r="AM250" i="26"/>
  <c r="AN250" i="26"/>
  <c r="AO250" i="26"/>
  <c r="AP250" i="26"/>
  <c r="AQ250" i="26"/>
  <c r="AR250" i="26"/>
  <c r="AS250" i="26"/>
  <c r="AT250" i="26"/>
  <c r="AU250" i="26"/>
  <c r="AV250" i="26"/>
  <c r="AW250" i="26"/>
  <c r="AX250" i="26"/>
  <c r="AY250" i="26"/>
  <c r="AZ250" i="26"/>
  <c r="BA250" i="26"/>
  <c r="BB250" i="26"/>
  <c r="BC250" i="26"/>
  <c r="BD250" i="26"/>
  <c r="BE250" i="26"/>
  <c r="BF250" i="26"/>
  <c r="BG250" i="26"/>
  <c r="I251" i="26"/>
  <c r="J251" i="26"/>
  <c r="K251" i="26"/>
  <c r="L251" i="26"/>
  <c r="M251" i="26"/>
  <c r="N251" i="26"/>
  <c r="O251" i="26"/>
  <c r="P251" i="26"/>
  <c r="Q251" i="26"/>
  <c r="R251" i="26"/>
  <c r="S251" i="26"/>
  <c r="T251" i="26"/>
  <c r="U251" i="26"/>
  <c r="V251" i="26"/>
  <c r="W251" i="26"/>
  <c r="X251" i="26"/>
  <c r="Y251" i="26"/>
  <c r="Z251" i="26"/>
  <c r="AA251" i="26"/>
  <c r="AB251" i="26"/>
  <c r="AC251" i="26"/>
  <c r="AD251" i="26"/>
  <c r="AE251" i="26"/>
  <c r="AF251" i="26"/>
  <c r="AG251" i="26"/>
  <c r="AH251" i="26"/>
  <c r="AI251" i="26"/>
  <c r="AJ251" i="26"/>
  <c r="AK251" i="26"/>
  <c r="AL251" i="26"/>
  <c r="AM251" i="26"/>
  <c r="AN251" i="26"/>
  <c r="AO251" i="26"/>
  <c r="AP251" i="26"/>
  <c r="AQ251" i="26"/>
  <c r="AR251" i="26"/>
  <c r="AS251" i="26"/>
  <c r="AT251" i="26"/>
  <c r="AU251" i="26"/>
  <c r="AV251" i="26"/>
  <c r="AW251" i="26"/>
  <c r="AX251" i="26"/>
  <c r="AY251" i="26"/>
  <c r="AZ251" i="26"/>
  <c r="BA251" i="26"/>
  <c r="BB251" i="26"/>
  <c r="BC251" i="26"/>
  <c r="BD251" i="26"/>
  <c r="BE251" i="26"/>
  <c r="BF251" i="26"/>
  <c r="BG251" i="26"/>
  <c r="I252" i="26"/>
  <c r="J252" i="26"/>
  <c r="K252" i="26"/>
  <c r="L252" i="26"/>
  <c r="M252" i="26"/>
  <c r="N252" i="26"/>
  <c r="O252" i="26"/>
  <c r="P252" i="26"/>
  <c r="Q252" i="26"/>
  <c r="R252" i="26"/>
  <c r="S252" i="26"/>
  <c r="T252" i="26"/>
  <c r="U252" i="26"/>
  <c r="V252" i="26"/>
  <c r="W252" i="26"/>
  <c r="X252" i="26"/>
  <c r="Y252" i="26"/>
  <c r="Z252" i="26"/>
  <c r="AA252" i="26"/>
  <c r="AB252" i="26"/>
  <c r="AC252" i="26"/>
  <c r="AD252" i="26"/>
  <c r="AE252" i="26"/>
  <c r="AF252" i="26"/>
  <c r="AG252" i="26"/>
  <c r="AH252" i="26"/>
  <c r="AI252" i="26"/>
  <c r="AJ252" i="26"/>
  <c r="AK252" i="26"/>
  <c r="AL252" i="26"/>
  <c r="AM252" i="26"/>
  <c r="AN252" i="26"/>
  <c r="AO252" i="26"/>
  <c r="AP252" i="26"/>
  <c r="AQ252" i="26"/>
  <c r="AR252" i="26"/>
  <c r="AS252" i="26"/>
  <c r="AT252" i="26"/>
  <c r="AU252" i="26"/>
  <c r="AV252" i="26"/>
  <c r="AW252" i="26"/>
  <c r="AX252" i="26"/>
  <c r="AY252" i="26"/>
  <c r="AZ252" i="26"/>
  <c r="BA252" i="26"/>
  <c r="BB252" i="26"/>
  <c r="BC252" i="26"/>
  <c r="BD252" i="26"/>
  <c r="BE252" i="26"/>
  <c r="BF252" i="26"/>
  <c r="BG252" i="26"/>
  <c r="I253" i="26"/>
  <c r="J253" i="26"/>
  <c r="K253" i="26"/>
  <c r="L253" i="26"/>
  <c r="M253" i="26"/>
  <c r="N253" i="26"/>
  <c r="O253" i="26"/>
  <c r="P253" i="26"/>
  <c r="Q253" i="26"/>
  <c r="R253" i="26"/>
  <c r="S253" i="26"/>
  <c r="T253" i="26"/>
  <c r="U253" i="26"/>
  <c r="V253" i="26"/>
  <c r="W253" i="26"/>
  <c r="X253" i="26"/>
  <c r="Y253" i="26"/>
  <c r="Z253" i="26"/>
  <c r="AA253" i="26"/>
  <c r="AB253" i="26"/>
  <c r="AC253" i="26"/>
  <c r="AD253" i="26"/>
  <c r="AE253" i="26"/>
  <c r="AF253" i="26"/>
  <c r="AG253" i="26"/>
  <c r="AH253" i="26"/>
  <c r="AI253" i="26"/>
  <c r="AJ253" i="26"/>
  <c r="AK253" i="26"/>
  <c r="AL253" i="26"/>
  <c r="AM253" i="26"/>
  <c r="AN253" i="26"/>
  <c r="AO253" i="26"/>
  <c r="AP253" i="26"/>
  <c r="AQ253" i="26"/>
  <c r="AR253" i="26"/>
  <c r="AS253" i="26"/>
  <c r="AT253" i="26"/>
  <c r="AU253" i="26"/>
  <c r="AV253" i="26"/>
  <c r="AW253" i="26"/>
  <c r="AX253" i="26"/>
  <c r="AY253" i="26"/>
  <c r="AZ253" i="26"/>
  <c r="BA253" i="26"/>
  <c r="BB253" i="26"/>
  <c r="BC253" i="26"/>
  <c r="BD253" i="26"/>
  <c r="BE253" i="26"/>
  <c r="BF253" i="26"/>
  <c r="BG253" i="26"/>
  <c r="I254" i="26"/>
  <c r="J254" i="26"/>
  <c r="K254" i="26"/>
  <c r="L254" i="26"/>
  <c r="M254" i="26"/>
  <c r="N254" i="26"/>
  <c r="O254" i="26"/>
  <c r="P254" i="26"/>
  <c r="Q254" i="26"/>
  <c r="R254" i="26"/>
  <c r="S254" i="26"/>
  <c r="T254" i="26"/>
  <c r="U254" i="26"/>
  <c r="V254" i="26"/>
  <c r="W254" i="26"/>
  <c r="X254" i="26"/>
  <c r="Y254" i="26"/>
  <c r="Z254" i="26"/>
  <c r="AA254" i="26"/>
  <c r="AB254" i="26"/>
  <c r="AC254" i="26"/>
  <c r="AD254" i="26"/>
  <c r="AE254" i="26"/>
  <c r="AF254" i="26"/>
  <c r="AG254" i="26"/>
  <c r="AH254" i="26"/>
  <c r="AI254" i="26"/>
  <c r="AJ254" i="26"/>
  <c r="AK254" i="26"/>
  <c r="AL254" i="26"/>
  <c r="AM254" i="26"/>
  <c r="AN254" i="26"/>
  <c r="AO254" i="26"/>
  <c r="AP254" i="26"/>
  <c r="AQ254" i="26"/>
  <c r="AR254" i="26"/>
  <c r="AS254" i="26"/>
  <c r="AT254" i="26"/>
  <c r="AU254" i="26"/>
  <c r="AV254" i="26"/>
  <c r="AW254" i="26"/>
  <c r="AX254" i="26"/>
  <c r="AY254" i="26"/>
  <c r="AZ254" i="26"/>
  <c r="BA254" i="26"/>
  <c r="BB254" i="26"/>
  <c r="BC254" i="26"/>
  <c r="BD254" i="26"/>
  <c r="BE254" i="26"/>
  <c r="BF254" i="26"/>
  <c r="BG254" i="26"/>
  <c r="I255" i="26"/>
  <c r="J255" i="26"/>
  <c r="K255" i="26"/>
  <c r="L255" i="26"/>
  <c r="M255" i="26"/>
  <c r="N255" i="26"/>
  <c r="O255" i="26"/>
  <c r="P255" i="26"/>
  <c r="Q255" i="26"/>
  <c r="R255" i="26"/>
  <c r="S255" i="26"/>
  <c r="T255" i="26"/>
  <c r="U255" i="26"/>
  <c r="V255" i="26"/>
  <c r="W255" i="26"/>
  <c r="X255" i="26"/>
  <c r="Y255" i="26"/>
  <c r="Z255" i="26"/>
  <c r="AA255" i="26"/>
  <c r="AB255" i="26"/>
  <c r="AC255" i="26"/>
  <c r="AD255" i="26"/>
  <c r="AE255" i="26"/>
  <c r="AF255" i="26"/>
  <c r="AG255" i="26"/>
  <c r="AH255" i="26"/>
  <c r="AI255" i="26"/>
  <c r="AJ255" i="26"/>
  <c r="AK255" i="26"/>
  <c r="AL255" i="26"/>
  <c r="AM255" i="26"/>
  <c r="AN255" i="26"/>
  <c r="AO255" i="26"/>
  <c r="AP255" i="26"/>
  <c r="AQ255" i="26"/>
  <c r="AR255" i="26"/>
  <c r="AS255" i="26"/>
  <c r="AT255" i="26"/>
  <c r="AU255" i="26"/>
  <c r="AV255" i="26"/>
  <c r="AW255" i="26"/>
  <c r="AX255" i="26"/>
  <c r="AY255" i="26"/>
  <c r="AZ255" i="26"/>
  <c r="BA255" i="26"/>
  <c r="BB255" i="26"/>
  <c r="BC255" i="26"/>
  <c r="BD255" i="26"/>
  <c r="BE255" i="26"/>
  <c r="BF255" i="26"/>
  <c r="BG255" i="26"/>
  <c r="I256" i="26"/>
  <c r="J256" i="26"/>
  <c r="K256" i="26"/>
  <c r="L256" i="26"/>
  <c r="M256" i="26"/>
  <c r="N256" i="26"/>
  <c r="O256" i="26"/>
  <c r="P256" i="26"/>
  <c r="Q256" i="26"/>
  <c r="R256" i="26"/>
  <c r="S256" i="26"/>
  <c r="T256" i="26"/>
  <c r="U256" i="26"/>
  <c r="V256" i="26"/>
  <c r="W256" i="26"/>
  <c r="X256" i="26"/>
  <c r="Y256" i="26"/>
  <c r="Z256" i="26"/>
  <c r="AA256" i="26"/>
  <c r="AB256" i="26"/>
  <c r="AC256" i="26"/>
  <c r="AD256" i="26"/>
  <c r="AE256" i="26"/>
  <c r="AF256" i="26"/>
  <c r="AG256" i="26"/>
  <c r="AH256" i="26"/>
  <c r="AI256" i="26"/>
  <c r="AJ256" i="26"/>
  <c r="AK256" i="26"/>
  <c r="AL256" i="26"/>
  <c r="AM256" i="26"/>
  <c r="AN256" i="26"/>
  <c r="AO256" i="26"/>
  <c r="AP256" i="26"/>
  <c r="AQ256" i="26"/>
  <c r="AR256" i="26"/>
  <c r="AS256" i="26"/>
  <c r="AT256" i="26"/>
  <c r="AU256" i="26"/>
  <c r="AV256" i="26"/>
  <c r="AW256" i="26"/>
  <c r="AX256" i="26"/>
  <c r="AY256" i="26"/>
  <c r="AZ256" i="26"/>
  <c r="BA256" i="26"/>
  <c r="BB256" i="26"/>
  <c r="BC256" i="26"/>
  <c r="BD256" i="26"/>
  <c r="BE256" i="26"/>
  <c r="BF256" i="26"/>
  <c r="BG256" i="26"/>
  <c r="I257" i="26"/>
  <c r="J257" i="26"/>
  <c r="K257" i="26"/>
  <c r="L257" i="26"/>
  <c r="M257" i="26"/>
  <c r="N257" i="26"/>
  <c r="O257" i="26"/>
  <c r="P257" i="26"/>
  <c r="Q257" i="26"/>
  <c r="R257" i="26"/>
  <c r="S257" i="26"/>
  <c r="T257" i="26"/>
  <c r="U257" i="26"/>
  <c r="V257" i="26"/>
  <c r="W257" i="26"/>
  <c r="X257" i="26"/>
  <c r="Y257" i="26"/>
  <c r="Z257" i="26"/>
  <c r="AA257" i="26"/>
  <c r="AB257" i="26"/>
  <c r="AC257" i="26"/>
  <c r="AD257" i="26"/>
  <c r="AE257" i="26"/>
  <c r="AF257" i="26"/>
  <c r="AG257" i="26"/>
  <c r="AH257" i="26"/>
  <c r="AI257" i="26"/>
  <c r="AJ257" i="26"/>
  <c r="AK257" i="26"/>
  <c r="AL257" i="26"/>
  <c r="AM257" i="26"/>
  <c r="AN257" i="26"/>
  <c r="AO257" i="26"/>
  <c r="AP257" i="26"/>
  <c r="AQ257" i="26"/>
  <c r="AR257" i="26"/>
  <c r="AS257" i="26"/>
  <c r="AT257" i="26"/>
  <c r="AU257" i="26"/>
  <c r="AV257" i="26"/>
  <c r="AW257" i="26"/>
  <c r="AX257" i="26"/>
  <c r="AY257" i="26"/>
  <c r="AZ257" i="26"/>
  <c r="BA257" i="26"/>
  <c r="BB257" i="26"/>
  <c r="BC257" i="26"/>
  <c r="BD257" i="26"/>
  <c r="BE257" i="26"/>
  <c r="BF257" i="26"/>
  <c r="BG257" i="26"/>
  <c r="I258" i="26"/>
  <c r="J258" i="26"/>
  <c r="K258" i="26"/>
  <c r="L258" i="26"/>
  <c r="M258" i="26"/>
  <c r="N258" i="26"/>
  <c r="O258" i="26"/>
  <c r="P258" i="26"/>
  <c r="Q258" i="26"/>
  <c r="R258" i="26"/>
  <c r="S258" i="26"/>
  <c r="T258" i="26"/>
  <c r="U258" i="26"/>
  <c r="V258" i="26"/>
  <c r="W258" i="26"/>
  <c r="X258" i="26"/>
  <c r="Y258" i="26"/>
  <c r="Z258" i="26"/>
  <c r="AA258" i="26"/>
  <c r="AB258" i="26"/>
  <c r="AC258" i="26"/>
  <c r="AD258" i="26"/>
  <c r="AE258" i="26"/>
  <c r="AF258" i="26"/>
  <c r="AG258" i="26"/>
  <c r="AH258" i="26"/>
  <c r="AI258" i="26"/>
  <c r="AJ258" i="26"/>
  <c r="AK258" i="26"/>
  <c r="AL258" i="26"/>
  <c r="AM258" i="26"/>
  <c r="AN258" i="26"/>
  <c r="AO258" i="26"/>
  <c r="AP258" i="26"/>
  <c r="AQ258" i="26"/>
  <c r="AR258" i="26"/>
  <c r="AS258" i="26"/>
  <c r="AT258" i="26"/>
  <c r="AU258" i="26"/>
  <c r="AV258" i="26"/>
  <c r="AW258" i="26"/>
  <c r="AX258" i="26"/>
  <c r="AY258" i="26"/>
  <c r="AZ258" i="26"/>
  <c r="BA258" i="26"/>
  <c r="BB258" i="26"/>
  <c r="BC258" i="26"/>
  <c r="BD258" i="26"/>
  <c r="BE258" i="26"/>
  <c r="BF258" i="26"/>
  <c r="BG258" i="26"/>
  <c r="I259" i="26"/>
  <c r="J259" i="26"/>
  <c r="K259" i="26"/>
  <c r="L259" i="26"/>
  <c r="M259" i="26"/>
  <c r="N259" i="26"/>
  <c r="O259" i="26"/>
  <c r="P259" i="26"/>
  <c r="Q259" i="26"/>
  <c r="R259" i="26"/>
  <c r="S259" i="26"/>
  <c r="T259" i="26"/>
  <c r="U259" i="26"/>
  <c r="V259" i="26"/>
  <c r="W259" i="26"/>
  <c r="X259" i="26"/>
  <c r="Y259" i="26"/>
  <c r="Z259" i="26"/>
  <c r="AA259" i="26"/>
  <c r="AB259" i="26"/>
  <c r="AC259" i="26"/>
  <c r="AD259" i="26"/>
  <c r="AE259" i="26"/>
  <c r="AF259" i="26"/>
  <c r="AG259" i="26"/>
  <c r="AH259" i="26"/>
  <c r="AI259" i="26"/>
  <c r="AJ259" i="26"/>
  <c r="AK259" i="26"/>
  <c r="AL259" i="26"/>
  <c r="AM259" i="26"/>
  <c r="AN259" i="26"/>
  <c r="AO259" i="26"/>
  <c r="AP259" i="26"/>
  <c r="AQ259" i="26"/>
  <c r="AR259" i="26"/>
  <c r="AS259" i="26"/>
  <c r="AT259" i="26"/>
  <c r="AU259" i="26"/>
  <c r="AV259" i="26"/>
  <c r="AW259" i="26"/>
  <c r="AX259" i="26"/>
  <c r="AY259" i="26"/>
  <c r="AZ259" i="26"/>
  <c r="BA259" i="26"/>
  <c r="BB259" i="26"/>
  <c r="BC259" i="26"/>
  <c r="BD259" i="26"/>
  <c r="BE259" i="26"/>
  <c r="BF259" i="26"/>
  <c r="BG259" i="26"/>
  <c r="I260" i="26"/>
  <c r="J260" i="26"/>
  <c r="K260" i="26"/>
  <c r="L260" i="26"/>
  <c r="M260" i="26"/>
  <c r="N260" i="26"/>
  <c r="O260" i="26"/>
  <c r="P260" i="26"/>
  <c r="Q260" i="26"/>
  <c r="R260" i="26"/>
  <c r="S260" i="26"/>
  <c r="T260" i="26"/>
  <c r="U260" i="26"/>
  <c r="V260" i="26"/>
  <c r="W260" i="26"/>
  <c r="X260" i="26"/>
  <c r="Y260" i="26"/>
  <c r="Z260" i="26"/>
  <c r="AA260" i="26"/>
  <c r="AB260" i="26"/>
  <c r="AC260" i="26"/>
  <c r="AD260" i="26"/>
  <c r="AE260" i="26"/>
  <c r="AF260" i="26"/>
  <c r="AG260" i="26"/>
  <c r="AH260" i="26"/>
  <c r="AI260" i="26"/>
  <c r="AJ260" i="26"/>
  <c r="AK260" i="26"/>
  <c r="AL260" i="26"/>
  <c r="AM260" i="26"/>
  <c r="AN260" i="26"/>
  <c r="AO260" i="26"/>
  <c r="AP260" i="26"/>
  <c r="AQ260" i="26"/>
  <c r="AR260" i="26"/>
  <c r="AS260" i="26"/>
  <c r="AT260" i="26"/>
  <c r="AU260" i="26"/>
  <c r="AV260" i="26"/>
  <c r="AW260" i="26"/>
  <c r="AX260" i="26"/>
  <c r="AY260" i="26"/>
  <c r="AZ260" i="26"/>
  <c r="BA260" i="26"/>
  <c r="BB260" i="26"/>
  <c r="BC260" i="26"/>
  <c r="BD260" i="26"/>
  <c r="BE260" i="26"/>
  <c r="BF260" i="26"/>
  <c r="BG260" i="26"/>
  <c r="I261" i="26"/>
  <c r="J261" i="26"/>
  <c r="K261" i="26"/>
  <c r="L261" i="26"/>
  <c r="M261" i="26"/>
  <c r="N261" i="26"/>
  <c r="O261" i="26"/>
  <c r="P261" i="26"/>
  <c r="Q261" i="26"/>
  <c r="R261" i="26"/>
  <c r="S261" i="26"/>
  <c r="T261" i="26"/>
  <c r="U261" i="26"/>
  <c r="V261" i="26"/>
  <c r="W261" i="26"/>
  <c r="X261" i="26"/>
  <c r="Y261" i="26"/>
  <c r="Z261" i="26"/>
  <c r="AA261" i="26"/>
  <c r="AB261" i="26"/>
  <c r="AC261" i="26"/>
  <c r="AD261" i="26"/>
  <c r="AE261" i="26"/>
  <c r="AF261" i="26"/>
  <c r="AG261" i="26"/>
  <c r="AH261" i="26"/>
  <c r="AI261" i="26"/>
  <c r="AJ261" i="26"/>
  <c r="AK261" i="26"/>
  <c r="AL261" i="26"/>
  <c r="AM261" i="26"/>
  <c r="AN261" i="26"/>
  <c r="AO261" i="26"/>
  <c r="AP261" i="26"/>
  <c r="AQ261" i="26"/>
  <c r="AR261" i="26"/>
  <c r="AS261" i="26"/>
  <c r="AT261" i="26"/>
  <c r="AU261" i="26"/>
  <c r="AV261" i="26"/>
  <c r="AW261" i="26"/>
  <c r="AX261" i="26"/>
  <c r="AY261" i="26"/>
  <c r="AZ261" i="26"/>
  <c r="BA261" i="26"/>
  <c r="BB261" i="26"/>
  <c r="BC261" i="26"/>
  <c r="BD261" i="26"/>
  <c r="BE261" i="26"/>
  <c r="BF261" i="26"/>
  <c r="BG261" i="26"/>
  <c r="I262" i="26"/>
  <c r="J262" i="26"/>
  <c r="K262" i="26"/>
  <c r="L262" i="26"/>
  <c r="M262" i="26"/>
  <c r="N262" i="26"/>
  <c r="O262" i="26"/>
  <c r="P262" i="26"/>
  <c r="Q262" i="26"/>
  <c r="R262" i="26"/>
  <c r="S262" i="26"/>
  <c r="T262" i="26"/>
  <c r="U262" i="26"/>
  <c r="V262" i="26"/>
  <c r="W262" i="26"/>
  <c r="X262" i="26"/>
  <c r="Y262" i="26"/>
  <c r="Z262" i="26"/>
  <c r="AA262" i="26"/>
  <c r="AB262" i="26"/>
  <c r="AC262" i="26"/>
  <c r="AD262" i="26"/>
  <c r="AE262" i="26"/>
  <c r="AF262" i="26"/>
  <c r="AG262" i="26"/>
  <c r="AH262" i="26"/>
  <c r="AI262" i="26"/>
  <c r="AJ262" i="26"/>
  <c r="AK262" i="26"/>
  <c r="AL262" i="26"/>
  <c r="AM262" i="26"/>
  <c r="AN262" i="26"/>
  <c r="AO262" i="26"/>
  <c r="AP262" i="26"/>
  <c r="AQ262" i="26"/>
  <c r="AR262" i="26"/>
  <c r="AS262" i="26"/>
  <c r="AT262" i="26"/>
  <c r="AU262" i="26"/>
  <c r="AV262" i="26"/>
  <c r="AW262" i="26"/>
  <c r="AX262" i="26"/>
  <c r="AY262" i="26"/>
  <c r="AZ262" i="26"/>
  <c r="BA262" i="26"/>
  <c r="BB262" i="26"/>
  <c r="BC262" i="26"/>
  <c r="BD262" i="26"/>
  <c r="BE262" i="26"/>
  <c r="BF262" i="26"/>
  <c r="BG262" i="26"/>
  <c r="I263" i="26"/>
  <c r="J263" i="26"/>
  <c r="K263" i="26"/>
  <c r="L263" i="26"/>
  <c r="M263" i="26"/>
  <c r="N263" i="26"/>
  <c r="O263" i="26"/>
  <c r="P263" i="26"/>
  <c r="Q263" i="26"/>
  <c r="R263" i="26"/>
  <c r="S263" i="26"/>
  <c r="T263" i="26"/>
  <c r="U263" i="26"/>
  <c r="V263" i="26"/>
  <c r="W263" i="26"/>
  <c r="X263" i="26"/>
  <c r="Y263" i="26"/>
  <c r="Z263" i="26"/>
  <c r="AA263" i="26"/>
  <c r="AB263" i="26"/>
  <c r="AC263" i="26"/>
  <c r="AD263" i="26"/>
  <c r="AE263" i="26"/>
  <c r="AF263" i="26"/>
  <c r="AG263" i="26"/>
  <c r="AH263" i="26"/>
  <c r="AI263" i="26"/>
  <c r="AJ263" i="26"/>
  <c r="AK263" i="26"/>
  <c r="AL263" i="26"/>
  <c r="AM263" i="26"/>
  <c r="AN263" i="26"/>
  <c r="AO263" i="26"/>
  <c r="AP263" i="26"/>
  <c r="AQ263" i="26"/>
  <c r="AR263" i="26"/>
  <c r="AS263" i="26"/>
  <c r="AT263" i="26"/>
  <c r="AU263" i="26"/>
  <c r="AV263" i="26"/>
  <c r="AW263" i="26"/>
  <c r="AX263" i="26"/>
  <c r="AY263" i="26"/>
  <c r="AZ263" i="26"/>
  <c r="BA263" i="26"/>
  <c r="BB263" i="26"/>
  <c r="BC263" i="26"/>
  <c r="BD263" i="26"/>
  <c r="BE263" i="26"/>
  <c r="BF263" i="26"/>
  <c r="BG263" i="26"/>
  <c r="I264" i="26"/>
  <c r="J264" i="26"/>
  <c r="K264" i="26"/>
  <c r="L264" i="26"/>
  <c r="M264" i="26"/>
  <c r="N264" i="26"/>
  <c r="O264" i="26"/>
  <c r="P264" i="26"/>
  <c r="Q264" i="26"/>
  <c r="R264" i="26"/>
  <c r="S264" i="26"/>
  <c r="T264" i="26"/>
  <c r="U264" i="26"/>
  <c r="V264" i="26"/>
  <c r="W264" i="26"/>
  <c r="X264" i="26"/>
  <c r="Y264" i="26"/>
  <c r="Z264" i="26"/>
  <c r="AA264" i="26"/>
  <c r="AB264" i="26"/>
  <c r="AC264" i="26"/>
  <c r="AD264" i="26"/>
  <c r="AE264" i="26"/>
  <c r="AF264" i="26"/>
  <c r="AG264" i="26"/>
  <c r="AH264" i="26"/>
  <c r="AI264" i="26"/>
  <c r="AJ264" i="26"/>
  <c r="AK264" i="26"/>
  <c r="AL264" i="26"/>
  <c r="AM264" i="26"/>
  <c r="AN264" i="26"/>
  <c r="AO264" i="26"/>
  <c r="AP264" i="26"/>
  <c r="AQ264" i="26"/>
  <c r="AR264" i="26"/>
  <c r="AS264" i="26"/>
  <c r="AT264" i="26"/>
  <c r="AU264" i="26"/>
  <c r="AV264" i="26"/>
  <c r="AW264" i="26"/>
  <c r="AX264" i="26"/>
  <c r="AY264" i="26"/>
  <c r="AZ264" i="26"/>
  <c r="BA264" i="26"/>
  <c r="BB264" i="26"/>
  <c r="BC264" i="26"/>
  <c r="BD264" i="26"/>
  <c r="BE264" i="26"/>
  <c r="BF264" i="26"/>
  <c r="BG264" i="26"/>
  <c r="I265" i="26"/>
  <c r="J265" i="26"/>
  <c r="K265" i="26"/>
  <c r="L265" i="26"/>
  <c r="M265" i="26"/>
  <c r="N265" i="26"/>
  <c r="O265" i="26"/>
  <c r="P265" i="26"/>
  <c r="Q265" i="26"/>
  <c r="R265" i="26"/>
  <c r="S265" i="26"/>
  <c r="T265" i="26"/>
  <c r="U265" i="26"/>
  <c r="V265" i="26"/>
  <c r="W265" i="26"/>
  <c r="X265" i="26"/>
  <c r="Y265" i="26"/>
  <c r="Z265" i="26"/>
  <c r="AA265" i="26"/>
  <c r="AB265" i="26"/>
  <c r="AC265" i="26"/>
  <c r="AD265" i="26"/>
  <c r="AE265" i="26"/>
  <c r="AF265" i="26"/>
  <c r="AG265" i="26"/>
  <c r="AH265" i="26"/>
  <c r="AI265" i="26"/>
  <c r="AJ265" i="26"/>
  <c r="AK265" i="26"/>
  <c r="AL265" i="26"/>
  <c r="AM265" i="26"/>
  <c r="AN265" i="26"/>
  <c r="AO265" i="26"/>
  <c r="AP265" i="26"/>
  <c r="AQ265" i="26"/>
  <c r="AR265" i="26"/>
  <c r="AS265" i="26"/>
  <c r="AT265" i="26"/>
  <c r="AU265" i="26"/>
  <c r="AV265" i="26"/>
  <c r="AW265" i="26"/>
  <c r="AX265" i="26"/>
  <c r="AY265" i="26"/>
  <c r="AZ265" i="26"/>
  <c r="BA265" i="26"/>
  <c r="BB265" i="26"/>
  <c r="BC265" i="26"/>
  <c r="BD265" i="26"/>
  <c r="BE265" i="26"/>
  <c r="BF265" i="26"/>
  <c r="BG265" i="26"/>
  <c r="I266" i="26"/>
  <c r="J266" i="26"/>
  <c r="K266" i="26"/>
  <c r="L266" i="26"/>
  <c r="M266" i="26"/>
  <c r="N266" i="26"/>
  <c r="O266" i="26"/>
  <c r="P266" i="26"/>
  <c r="Q266" i="26"/>
  <c r="R266" i="26"/>
  <c r="S266" i="26"/>
  <c r="T266" i="26"/>
  <c r="U266" i="26"/>
  <c r="V266" i="26"/>
  <c r="W266" i="26"/>
  <c r="X266" i="26"/>
  <c r="Y266" i="26"/>
  <c r="Z266" i="26"/>
  <c r="AA266" i="26"/>
  <c r="AB266" i="26"/>
  <c r="AC266" i="26"/>
  <c r="AD266" i="26"/>
  <c r="AE266" i="26"/>
  <c r="AF266" i="26"/>
  <c r="AG266" i="26"/>
  <c r="AH266" i="26"/>
  <c r="AI266" i="26"/>
  <c r="AJ266" i="26"/>
  <c r="AK266" i="26"/>
  <c r="AL266" i="26"/>
  <c r="AM266" i="26"/>
  <c r="AN266" i="26"/>
  <c r="AO266" i="26"/>
  <c r="AP266" i="26"/>
  <c r="AQ266" i="26"/>
  <c r="AR266" i="26"/>
  <c r="AS266" i="26"/>
  <c r="AT266" i="26"/>
  <c r="AU266" i="26"/>
  <c r="AV266" i="26"/>
  <c r="AW266" i="26"/>
  <c r="AX266" i="26"/>
  <c r="AY266" i="26"/>
  <c r="AZ266" i="26"/>
  <c r="BA266" i="26"/>
  <c r="BB266" i="26"/>
  <c r="BC266" i="26"/>
  <c r="BD266" i="26"/>
  <c r="BE266" i="26"/>
  <c r="BF266" i="26"/>
  <c r="BG266" i="26"/>
  <c r="I267" i="26"/>
  <c r="J267" i="26"/>
  <c r="K267" i="26"/>
  <c r="L267" i="26"/>
  <c r="M267" i="26"/>
  <c r="N267" i="26"/>
  <c r="O267" i="26"/>
  <c r="P267" i="26"/>
  <c r="Q267" i="26"/>
  <c r="R267" i="26"/>
  <c r="S267" i="26"/>
  <c r="T267" i="26"/>
  <c r="U267" i="26"/>
  <c r="V267" i="26"/>
  <c r="W267" i="26"/>
  <c r="X267" i="26"/>
  <c r="Y267" i="26"/>
  <c r="Z267" i="26"/>
  <c r="AA267" i="26"/>
  <c r="AB267" i="26"/>
  <c r="AC267" i="26"/>
  <c r="AD267" i="26"/>
  <c r="AE267" i="26"/>
  <c r="AF267" i="26"/>
  <c r="AG267" i="26"/>
  <c r="AH267" i="26"/>
  <c r="AI267" i="26"/>
  <c r="AJ267" i="26"/>
  <c r="AK267" i="26"/>
  <c r="AL267" i="26"/>
  <c r="AM267" i="26"/>
  <c r="AN267" i="26"/>
  <c r="AO267" i="26"/>
  <c r="AP267" i="26"/>
  <c r="AQ267" i="26"/>
  <c r="AR267" i="26"/>
  <c r="AS267" i="26"/>
  <c r="AT267" i="26"/>
  <c r="AU267" i="26"/>
  <c r="AV267" i="26"/>
  <c r="AW267" i="26"/>
  <c r="AX267" i="26"/>
  <c r="AY267" i="26"/>
  <c r="AZ267" i="26"/>
  <c r="BA267" i="26"/>
  <c r="BB267" i="26"/>
  <c r="BC267" i="26"/>
  <c r="BD267" i="26"/>
  <c r="BE267" i="26"/>
  <c r="BF267" i="26"/>
  <c r="BG267" i="26"/>
  <c r="I268" i="26"/>
  <c r="J268" i="26"/>
  <c r="K268" i="26"/>
  <c r="L268" i="26"/>
  <c r="M268" i="26"/>
  <c r="N268" i="26"/>
  <c r="O268" i="26"/>
  <c r="P268" i="26"/>
  <c r="Q268" i="26"/>
  <c r="R268" i="26"/>
  <c r="S268" i="26"/>
  <c r="T268" i="26"/>
  <c r="U268" i="26"/>
  <c r="V268" i="26"/>
  <c r="W268" i="26"/>
  <c r="X268" i="26"/>
  <c r="Y268" i="26"/>
  <c r="Z268" i="26"/>
  <c r="AA268" i="26"/>
  <c r="AB268" i="26"/>
  <c r="AC268" i="26"/>
  <c r="AD268" i="26"/>
  <c r="AE268" i="26"/>
  <c r="AF268" i="26"/>
  <c r="AG268" i="26"/>
  <c r="AH268" i="26"/>
  <c r="AI268" i="26"/>
  <c r="AJ268" i="26"/>
  <c r="AK268" i="26"/>
  <c r="AL268" i="26"/>
  <c r="AM268" i="26"/>
  <c r="AN268" i="26"/>
  <c r="AO268" i="26"/>
  <c r="AP268" i="26"/>
  <c r="AQ268" i="26"/>
  <c r="AR268" i="26"/>
  <c r="AS268" i="26"/>
  <c r="AT268" i="26"/>
  <c r="AU268" i="26"/>
  <c r="AV268" i="26"/>
  <c r="AW268" i="26"/>
  <c r="AX268" i="26"/>
  <c r="AY268" i="26"/>
  <c r="AZ268" i="26"/>
  <c r="BA268" i="26"/>
  <c r="BB268" i="26"/>
  <c r="BC268" i="26"/>
  <c r="BD268" i="26"/>
  <c r="BE268" i="26"/>
  <c r="BF268" i="26"/>
  <c r="BG268" i="26"/>
  <c r="I269" i="26"/>
  <c r="J269" i="26"/>
  <c r="K269" i="26"/>
  <c r="L269" i="26"/>
  <c r="M269" i="26"/>
  <c r="N269" i="26"/>
  <c r="O269" i="26"/>
  <c r="P269" i="26"/>
  <c r="Q269" i="26"/>
  <c r="R269" i="26"/>
  <c r="S269" i="26"/>
  <c r="T269" i="26"/>
  <c r="U269" i="26"/>
  <c r="V269" i="26"/>
  <c r="W269" i="26"/>
  <c r="X269" i="26"/>
  <c r="Y269" i="26"/>
  <c r="Z269" i="26"/>
  <c r="AA269" i="26"/>
  <c r="AB269" i="26"/>
  <c r="AC269" i="26"/>
  <c r="AD269" i="26"/>
  <c r="AE269" i="26"/>
  <c r="AF269" i="26"/>
  <c r="AG269" i="26"/>
  <c r="AH269" i="26"/>
  <c r="AI269" i="26"/>
  <c r="AJ269" i="26"/>
  <c r="AK269" i="26"/>
  <c r="AL269" i="26"/>
  <c r="AM269" i="26"/>
  <c r="AN269" i="26"/>
  <c r="AO269" i="26"/>
  <c r="AP269" i="26"/>
  <c r="AQ269" i="26"/>
  <c r="AR269" i="26"/>
  <c r="AS269" i="26"/>
  <c r="AT269" i="26"/>
  <c r="AU269" i="26"/>
  <c r="AV269" i="26"/>
  <c r="AW269" i="26"/>
  <c r="AX269" i="26"/>
  <c r="AY269" i="26"/>
  <c r="AZ269" i="26"/>
  <c r="BA269" i="26"/>
  <c r="BB269" i="26"/>
  <c r="BC269" i="26"/>
  <c r="BD269" i="26"/>
  <c r="BE269" i="26"/>
  <c r="BF269" i="26"/>
  <c r="BG269" i="26"/>
  <c r="I270" i="26"/>
  <c r="J270" i="26"/>
  <c r="K270" i="26"/>
  <c r="L270" i="26"/>
  <c r="M270" i="26"/>
  <c r="N270" i="26"/>
  <c r="O270" i="26"/>
  <c r="P270" i="26"/>
  <c r="Q270" i="26"/>
  <c r="R270" i="26"/>
  <c r="S270" i="26"/>
  <c r="T270" i="26"/>
  <c r="U270" i="26"/>
  <c r="V270" i="26"/>
  <c r="W270" i="26"/>
  <c r="X270" i="26"/>
  <c r="Y270" i="26"/>
  <c r="Z270" i="26"/>
  <c r="AA270" i="26"/>
  <c r="AB270" i="26"/>
  <c r="AC270" i="26"/>
  <c r="AD270" i="26"/>
  <c r="AE270" i="26"/>
  <c r="AF270" i="26"/>
  <c r="AG270" i="26"/>
  <c r="AH270" i="26"/>
  <c r="AI270" i="26"/>
  <c r="AJ270" i="26"/>
  <c r="AK270" i="26"/>
  <c r="AL270" i="26"/>
  <c r="AM270" i="26"/>
  <c r="AN270" i="26"/>
  <c r="AO270" i="26"/>
  <c r="AP270" i="26"/>
  <c r="AQ270" i="26"/>
  <c r="AR270" i="26"/>
  <c r="AS270" i="26"/>
  <c r="AT270" i="26"/>
  <c r="AU270" i="26"/>
  <c r="AV270" i="26"/>
  <c r="AW270" i="26"/>
  <c r="AX270" i="26"/>
  <c r="AY270" i="26"/>
  <c r="AZ270" i="26"/>
  <c r="BA270" i="26"/>
  <c r="BB270" i="26"/>
  <c r="BC270" i="26"/>
  <c r="BD270" i="26"/>
  <c r="BE270" i="26"/>
  <c r="BF270" i="26"/>
  <c r="BG270" i="26"/>
  <c r="I271" i="26"/>
  <c r="J271" i="26"/>
  <c r="K271" i="26"/>
  <c r="L271" i="26"/>
  <c r="M271" i="26"/>
  <c r="N271" i="26"/>
  <c r="O271" i="26"/>
  <c r="P271" i="26"/>
  <c r="Q271" i="26"/>
  <c r="R271" i="26"/>
  <c r="S271" i="26"/>
  <c r="T271" i="26"/>
  <c r="U271" i="26"/>
  <c r="V271" i="26"/>
  <c r="W271" i="26"/>
  <c r="X271" i="26"/>
  <c r="Y271" i="26"/>
  <c r="Z271" i="26"/>
  <c r="AA271" i="26"/>
  <c r="AB271" i="26"/>
  <c r="AC271" i="26"/>
  <c r="AD271" i="26"/>
  <c r="AE271" i="26"/>
  <c r="AF271" i="26"/>
  <c r="AG271" i="26"/>
  <c r="AH271" i="26"/>
  <c r="AI271" i="26"/>
  <c r="AJ271" i="26"/>
  <c r="AK271" i="26"/>
  <c r="AL271" i="26"/>
  <c r="AM271" i="26"/>
  <c r="AN271" i="26"/>
  <c r="AO271" i="26"/>
  <c r="AP271" i="26"/>
  <c r="AQ271" i="26"/>
  <c r="AR271" i="26"/>
  <c r="AS271" i="26"/>
  <c r="AT271" i="26"/>
  <c r="AU271" i="26"/>
  <c r="AV271" i="26"/>
  <c r="AW271" i="26"/>
  <c r="AX271" i="26"/>
  <c r="AY271" i="26"/>
  <c r="AZ271" i="26"/>
  <c r="BA271" i="26"/>
  <c r="BB271" i="26"/>
  <c r="BC271" i="26"/>
  <c r="BD271" i="26"/>
  <c r="BE271" i="26"/>
  <c r="BF271" i="26"/>
  <c r="BG271" i="26"/>
  <c r="I272" i="26"/>
  <c r="J272" i="26"/>
  <c r="K272" i="26"/>
  <c r="L272" i="26"/>
  <c r="M272" i="26"/>
  <c r="N272" i="26"/>
  <c r="O272" i="26"/>
  <c r="P272" i="26"/>
  <c r="Q272" i="26"/>
  <c r="R272" i="26"/>
  <c r="S272" i="26"/>
  <c r="T272" i="26"/>
  <c r="U272" i="26"/>
  <c r="V272" i="26"/>
  <c r="W272" i="26"/>
  <c r="X272" i="26"/>
  <c r="Y272" i="26"/>
  <c r="Z272" i="26"/>
  <c r="AA272" i="26"/>
  <c r="AB272" i="26"/>
  <c r="AC272" i="26"/>
  <c r="AD272" i="26"/>
  <c r="AE272" i="26"/>
  <c r="AF272" i="26"/>
  <c r="AG272" i="26"/>
  <c r="AH272" i="26"/>
  <c r="AI272" i="26"/>
  <c r="AJ272" i="26"/>
  <c r="AK272" i="26"/>
  <c r="AL272" i="26"/>
  <c r="AM272" i="26"/>
  <c r="AN272" i="26"/>
  <c r="AO272" i="26"/>
  <c r="AP272" i="26"/>
  <c r="AQ272" i="26"/>
  <c r="AR272" i="26"/>
  <c r="AS272" i="26"/>
  <c r="AT272" i="26"/>
  <c r="AU272" i="26"/>
  <c r="AV272" i="26"/>
  <c r="AW272" i="26"/>
  <c r="AX272" i="26"/>
  <c r="AY272" i="26"/>
  <c r="AZ272" i="26"/>
  <c r="BA272" i="26"/>
  <c r="BB272" i="26"/>
  <c r="BC272" i="26"/>
  <c r="BD272" i="26"/>
  <c r="BE272" i="26"/>
  <c r="BF272" i="26"/>
  <c r="BG272" i="26"/>
  <c r="I273" i="26"/>
  <c r="J273" i="26"/>
  <c r="K273" i="26"/>
  <c r="L273" i="26"/>
  <c r="M273" i="26"/>
  <c r="N273" i="26"/>
  <c r="O273" i="26"/>
  <c r="P273" i="26"/>
  <c r="Q273" i="26"/>
  <c r="R273" i="26"/>
  <c r="S273" i="26"/>
  <c r="T273" i="26"/>
  <c r="U273" i="26"/>
  <c r="V273" i="26"/>
  <c r="W273" i="26"/>
  <c r="X273" i="26"/>
  <c r="Y273" i="26"/>
  <c r="Z273" i="26"/>
  <c r="AA273" i="26"/>
  <c r="AB273" i="26"/>
  <c r="AC273" i="26"/>
  <c r="AD273" i="26"/>
  <c r="AE273" i="26"/>
  <c r="AF273" i="26"/>
  <c r="AG273" i="26"/>
  <c r="AH273" i="26"/>
  <c r="AI273" i="26"/>
  <c r="AJ273" i="26"/>
  <c r="AK273" i="26"/>
  <c r="AL273" i="26"/>
  <c r="AM273" i="26"/>
  <c r="AN273" i="26"/>
  <c r="AO273" i="26"/>
  <c r="AP273" i="26"/>
  <c r="AQ273" i="26"/>
  <c r="AR273" i="26"/>
  <c r="AS273" i="26"/>
  <c r="AT273" i="26"/>
  <c r="AU273" i="26"/>
  <c r="AV273" i="26"/>
  <c r="AW273" i="26"/>
  <c r="AX273" i="26"/>
  <c r="AY273" i="26"/>
  <c r="AZ273" i="26"/>
  <c r="BA273" i="26"/>
  <c r="BB273" i="26"/>
  <c r="BC273" i="26"/>
  <c r="BD273" i="26"/>
  <c r="BE273" i="26"/>
  <c r="BF273" i="26"/>
  <c r="BG273" i="26"/>
  <c r="I274" i="26"/>
  <c r="J274" i="26"/>
  <c r="K274" i="26"/>
  <c r="L274" i="26"/>
  <c r="M274" i="26"/>
  <c r="N274" i="26"/>
  <c r="O274" i="26"/>
  <c r="P274" i="26"/>
  <c r="Q274" i="26"/>
  <c r="R274" i="26"/>
  <c r="S274" i="26"/>
  <c r="T274" i="26"/>
  <c r="U274" i="26"/>
  <c r="V274" i="26"/>
  <c r="W274" i="26"/>
  <c r="X274" i="26"/>
  <c r="Y274" i="26"/>
  <c r="Z274" i="26"/>
  <c r="AA274" i="26"/>
  <c r="AB274" i="26"/>
  <c r="AC274" i="26"/>
  <c r="AD274" i="26"/>
  <c r="AE274" i="26"/>
  <c r="AF274" i="26"/>
  <c r="AG274" i="26"/>
  <c r="AH274" i="26"/>
  <c r="AI274" i="26"/>
  <c r="AJ274" i="26"/>
  <c r="AK274" i="26"/>
  <c r="AL274" i="26"/>
  <c r="AM274" i="26"/>
  <c r="AN274" i="26"/>
  <c r="AO274" i="26"/>
  <c r="AP274" i="26"/>
  <c r="AQ274" i="26"/>
  <c r="AR274" i="26"/>
  <c r="AS274" i="26"/>
  <c r="AT274" i="26"/>
  <c r="AU274" i="26"/>
  <c r="AV274" i="26"/>
  <c r="AW274" i="26"/>
  <c r="AX274" i="26"/>
  <c r="AY274" i="26"/>
  <c r="AZ274" i="26"/>
  <c r="BA274" i="26"/>
  <c r="BB274" i="26"/>
  <c r="BC274" i="26"/>
  <c r="BD274" i="26"/>
  <c r="BE274" i="26"/>
  <c r="BF274" i="26"/>
  <c r="BG274" i="26"/>
  <c r="I275" i="26"/>
  <c r="J275" i="26"/>
  <c r="K275" i="26"/>
  <c r="L275" i="26"/>
  <c r="M275" i="26"/>
  <c r="N275" i="26"/>
  <c r="O275" i="26"/>
  <c r="P275" i="26"/>
  <c r="Q275" i="26"/>
  <c r="R275" i="26"/>
  <c r="S275" i="26"/>
  <c r="T275" i="26"/>
  <c r="U275" i="26"/>
  <c r="V275" i="26"/>
  <c r="W275" i="26"/>
  <c r="X275" i="26"/>
  <c r="Y275" i="26"/>
  <c r="Z275" i="26"/>
  <c r="AA275" i="26"/>
  <c r="AB275" i="26"/>
  <c r="AC275" i="26"/>
  <c r="AD275" i="26"/>
  <c r="AE275" i="26"/>
  <c r="AF275" i="26"/>
  <c r="AG275" i="26"/>
  <c r="AH275" i="26"/>
  <c r="AI275" i="26"/>
  <c r="AJ275" i="26"/>
  <c r="AK275" i="26"/>
  <c r="AL275" i="26"/>
  <c r="AM275" i="26"/>
  <c r="AN275" i="26"/>
  <c r="AO275" i="26"/>
  <c r="AP275" i="26"/>
  <c r="AQ275" i="26"/>
  <c r="AR275" i="26"/>
  <c r="AS275" i="26"/>
  <c r="AT275" i="26"/>
  <c r="AU275" i="26"/>
  <c r="AV275" i="26"/>
  <c r="AW275" i="26"/>
  <c r="AX275" i="26"/>
  <c r="AY275" i="26"/>
  <c r="AZ275" i="26"/>
  <c r="BA275" i="26"/>
  <c r="BB275" i="26"/>
  <c r="BC275" i="26"/>
  <c r="BD275" i="26"/>
  <c r="BE275" i="26"/>
  <c r="BF275" i="26"/>
  <c r="BG275" i="26"/>
  <c r="I276" i="26"/>
  <c r="J276" i="26"/>
  <c r="K276" i="26"/>
  <c r="L276" i="26"/>
  <c r="M276" i="26"/>
  <c r="N276" i="26"/>
  <c r="O276" i="26"/>
  <c r="P276" i="26"/>
  <c r="Q276" i="26"/>
  <c r="R276" i="26"/>
  <c r="S276" i="26"/>
  <c r="T276" i="26"/>
  <c r="U276" i="26"/>
  <c r="V276" i="26"/>
  <c r="W276" i="26"/>
  <c r="X276" i="26"/>
  <c r="Y276" i="26"/>
  <c r="Z276" i="26"/>
  <c r="AA276" i="26"/>
  <c r="AB276" i="26"/>
  <c r="AC276" i="26"/>
  <c r="AD276" i="26"/>
  <c r="AE276" i="26"/>
  <c r="AF276" i="26"/>
  <c r="AG276" i="26"/>
  <c r="AH276" i="26"/>
  <c r="AI276" i="26"/>
  <c r="AJ276" i="26"/>
  <c r="AK276" i="26"/>
  <c r="AL276" i="26"/>
  <c r="AM276" i="26"/>
  <c r="AN276" i="26"/>
  <c r="AO276" i="26"/>
  <c r="AP276" i="26"/>
  <c r="AQ276" i="26"/>
  <c r="AR276" i="26"/>
  <c r="AS276" i="26"/>
  <c r="AT276" i="26"/>
  <c r="AU276" i="26"/>
  <c r="AV276" i="26"/>
  <c r="AW276" i="26"/>
  <c r="AX276" i="26"/>
  <c r="AY276" i="26"/>
  <c r="AZ276" i="26"/>
  <c r="BA276" i="26"/>
  <c r="BB276" i="26"/>
  <c r="BC276" i="26"/>
  <c r="BD276" i="26"/>
  <c r="BE276" i="26"/>
  <c r="BF276" i="26"/>
  <c r="BG276" i="26"/>
  <c r="I277" i="26"/>
  <c r="J277" i="26"/>
  <c r="K277" i="26"/>
  <c r="L277" i="26"/>
  <c r="M277" i="26"/>
  <c r="N277" i="26"/>
  <c r="O277" i="26"/>
  <c r="P277" i="26"/>
  <c r="Q277" i="26"/>
  <c r="R277" i="26"/>
  <c r="S277" i="26"/>
  <c r="T277" i="26"/>
  <c r="U277" i="26"/>
  <c r="V277" i="26"/>
  <c r="W277" i="26"/>
  <c r="X277" i="26"/>
  <c r="Y277" i="26"/>
  <c r="Z277" i="26"/>
  <c r="AA277" i="26"/>
  <c r="AB277" i="26"/>
  <c r="AC277" i="26"/>
  <c r="AD277" i="26"/>
  <c r="AE277" i="26"/>
  <c r="AF277" i="26"/>
  <c r="AG277" i="26"/>
  <c r="AH277" i="26"/>
  <c r="AI277" i="26"/>
  <c r="AJ277" i="26"/>
  <c r="AK277" i="26"/>
  <c r="AL277" i="26"/>
  <c r="AM277" i="26"/>
  <c r="AN277" i="26"/>
  <c r="AO277" i="26"/>
  <c r="AP277" i="26"/>
  <c r="AQ277" i="26"/>
  <c r="AR277" i="26"/>
  <c r="AS277" i="26"/>
  <c r="AT277" i="26"/>
  <c r="AU277" i="26"/>
  <c r="AV277" i="26"/>
  <c r="AW277" i="26"/>
  <c r="AX277" i="26"/>
  <c r="AY277" i="26"/>
  <c r="AZ277" i="26"/>
  <c r="BA277" i="26"/>
  <c r="BB277" i="26"/>
  <c r="BC277" i="26"/>
  <c r="BD277" i="26"/>
  <c r="BE277" i="26"/>
  <c r="BF277" i="26"/>
  <c r="BG277" i="26"/>
  <c r="I278" i="26"/>
  <c r="J278" i="26"/>
  <c r="K278" i="26"/>
  <c r="L278" i="26"/>
  <c r="M278" i="26"/>
  <c r="N278" i="26"/>
  <c r="O278" i="26"/>
  <c r="P278" i="26"/>
  <c r="Q278" i="26"/>
  <c r="R278" i="26"/>
  <c r="S278" i="26"/>
  <c r="T278" i="26"/>
  <c r="U278" i="26"/>
  <c r="V278" i="26"/>
  <c r="W278" i="26"/>
  <c r="X278" i="26"/>
  <c r="Y278" i="26"/>
  <c r="Z278" i="26"/>
  <c r="AA278" i="26"/>
  <c r="AB278" i="26"/>
  <c r="AC278" i="26"/>
  <c r="AD278" i="26"/>
  <c r="AE278" i="26"/>
  <c r="AF278" i="26"/>
  <c r="AG278" i="26"/>
  <c r="AH278" i="26"/>
  <c r="AI278" i="26"/>
  <c r="AJ278" i="26"/>
  <c r="AK278" i="26"/>
  <c r="AL278" i="26"/>
  <c r="AM278" i="26"/>
  <c r="AN278" i="26"/>
  <c r="AO278" i="26"/>
  <c r="AP278" i="26"/>
  <c r="AQ278" i="26"/>
  <c r="AR278" i="26"/>
  <c r="AS278" i="26"/>
  <c r="AT278" i="26"/>
  <c r="AU278" i="26"/>
  <c r="AV278" i="26"/>
  <c r="AW278" i="26"/>
  <c r="AX278" i="26"/>
  <c r="AY278" i="26"/>
  <c r="AZ278" i="26"/>
  <c r="BA278" i="26"/>
  <c r="BB278" i="26"/>
  <c r="BC278" i="26"/>
  <c r="BD278" i="26"/>
  <c r="BE278" i="26"/>
  <c r="BF278" i="26"/>
  <c r="BG278" i="26"/>
  <c r="I279" i="26"/>
  <c r="J279" i="26"/>
  <c r="K279" i="26"/>
  <c r="L279" i="26"/>
  <c r="M279" i="26"/>
  <c r="N279" i="26"/>
  <c r="O279" i="26"/>
  <c r="P279" i="26"/>
  <c r="Q279" i="26"/>
  <c r="R279" i="26"/>
  <c r="S279" i="26"/>
  <c r="T279" i="26"/>
  <c r="U279" i="26"/>
  <c r="V279" i="26"/>
  <c r="W279" i="26"/>
  <c r="X279" i="26"/>
  <c r="Y279" i="26"/>
  <c r="Z279" i="26"/>
  <c r="AA279" i="26"/>
  <c r="AB279" i="26"/>
  <c r="AC279" i="26"/>
  <c r="AD279" i="26"/>
  <c r="AE279" i="26"/>
  <c r="AF279" i="26"/>
  <c r="AG279" i="26"/>
  <c r="AH279" i="26"/>
  <c r="AI279" i="26"/>
  <c r="AJ279" i="26"/>
  <c r="AK279" i="26"/>
  <c r="AL279" i="26"/>
  <c r="AM279" i="26"/>
  <c r="AN279" i="26"/>
  <c r="AO279" i="26"/>
  <c r="AP279" i="26"/>
  <c r="AQ279" i="26"/>
  <c r="AR279" i="26"/>
  <c r="AS279" i="26"/>
  <c r="AT279" i="26"/>
  <c r="AU279" i="26"/>
  <c r="AV279" i="26"/>
  <c r="AW279" i="26"/>
  <c r="AX279" i="26"/>
  <c r="AY279" i="26"/>
  <c r="AZ279" i="26"/>
  <c r="BA279" i="26"/>
  <c r="BB279" i="26"/>
  <c r="BC279" i="26"/>
  <c r="BD279" i="26"/>
  <c r="BE279" i="26"/>
  <c r="BF279" i="26"/>
  <c r="BG279" i="26"/>
  <c r="I280" i="26"/>
  <c r="J280" i="26"/>
  <c r="K280" i="26"/>
  <c r="L280" i="26"/>
  <c r="M280" i="26"/>
  <c r="N280" i="26"/>
  <c r="O280" i="26"/>
  <c r="P280" i="26"/>
  <c r="Q280" i="26"/>
  <c r="R280" i="26"/>
  <c r="S280" i="26"/>
  <c r="T280" i="26"/>
  <c r="U280" i="26"/>
  <c r="V280" i="26"/>
  <c r="W280" i="26"/>
  <c r="X280" i="26"/>
  <c r="Y280" i="26"/>
  <c r="Z280" i="26"/>
  <c r="AA280" i="26"/>
  <c r="AB280" i="26"/>
  <c r="AC280" i="26"/>
  <c r="AD280" i="26"/>
  <c r="AE280" i="26"/>
  <c r="AF280" i="26"/>
  <c r="AG280" i="26"/>
  <c r="AH280" i="26"/>
  <c r="AI280" i="26"/>
  <c r="AJ280" i="26"/>
  <c r="AK280" i="26"/>
  <c r="AL280" i="26"/>
  <c r="AM280" i="26"/>
  <c r="AN280" i="26"/>
  <c r="AO280" i="26"/>
  <c r="AP280" i="26"/>
  <c r="AQ280" i="26"/>
  <c r="AR280" i="26"/>
  <c r="AS280" i="26"/>
  <c r="AT280" i="26"/>
  <c r="AU280" i="26"/>
  <c r="AV280" i="26"/>
  <c r="AW280" i="26"/>
  <c r="AX280" i="26"/>
  <c r="AY280" i="26"/>
  <c r="AZ280" i="26"/>
  <c r="BA280" i="26"/>
  <c r="BB280" i="26"/>
  <c r="BC280" i="26"/>
  <c r="BD280" i="26"/>
  <c r="BE280" i="26"/>
  <c r="BF280" i="26"/>
  <c r="BG280" i="26"/>
  <c r="I281" i="26"/>
  <c r="J281" i="26"/>
  <c r="K281" i="26"/>
  <c r="L281" i="26"/>
  <c r="M281" i="26"/>
  <c r="N281" i="26"/>
  <c r="O281" i="26"/>
  <c r="P281" i="26"/>
  <c r="Q281" i="26"/>
  <c r="R281" i="26"/>
  <c r="S281" i="26"/>
  <c r="T281" i="26"/>
  <c r="U281" i="26"/>
  <c r="V281" i="26"/>
  <c r="W281" i="26"/>
  <c r="X281" i="26"/>
  <c r="Y281" i="26"/>
  <c r="Z281" i="26"/>
  <c r="AA281" i="26"/>
  <c r="AB281" i="26"/>
  <c r="AC281" i="26"/>
  <c r="AD281" i="26"/>
  <c r="AE281" i="26"/>
  <c r="AF281" i="26"/>
  <c r="AG281" i="26"/>
  <c r="AH281" i="26"/>
  <c r="AI281" i="26"/>
  <c r="AJ281" i="26"/>
  <c r="AK281" i="26"/>
  <c r="AL281" i="26"/>
  <c r="AM281" i="26"/>
  <c r="AN281" i="26"/>
  <c r="AO281" i="26"/>
  <c r="AP281" i="26"/>
  <c r="AQ281" i="26"/>
  <c r="AR281" i="26"/>
  <c r="AS281" i="26"/>
  <c r="AT281" i="26"/>
  <c r="AU281" i="26"/>
  <c r="AV281" i="26"/>
  <c r="AW281" i="26"/>
  <c r="AX281" i="26"/>
  <c r="AY281" i="26"/>
  <c r="AZ281" i="26"/>
  <c r="BA281" i="26"/>
  <c r="BB281" i="26"/>
  <c r="BC281" i="26"/>
  <c r="BD281" i="26"/>
  <c r="BE281" i="26"/>
  <c r="BF281" i="26"/>
  <c r="BG281" i="26"/>
  <c r="I282" i="26"/>
  <c r="J282" i="26"/>
  <c r="K282" i="26"/>
  <c r="L282" i="26"/>
  <c r="M282" i="26"/>
  <c r="N282" i="26"/>
  <c r="O282" i="26"/>
  <c r="P282" i="26"/>
  <c r="Q282" i="26"/>
  <c r="R282" i="26"/>
  <c r="S282" i="26"/>
  <c r="T282" i="26"/>
  <c r="U282" i="26"/>
  <c r="V282" i="26"/>
  <c r="W282" i="26"/>
  <c r="X282" i="26"/>
  <c r="Y282" i="26"/>
  <c r="Z282" i="26"/>
  <c r="AA282" i="26"/>
  <c r="AB282" i="26"/>
  <c r="AC282" i="26"/>
  <c r="AD282" i="26"/>
  <c r="AE282" i="26"/>
  <c r="AF282" i="26"/>
  <c r="AG282" i="26"/>
  <c r="AH282" i="26"/>
  <c r="AI282" i="26"/>
  <c r="AJ282" i="26"/>
  <c r="AK282" i="26"/>
  <c r="AL282" i="26"/>
  <c r="AM282" i="26"/>
  <c r="AN282" i="26"/>
  <c r="AO282" i="26"/>
  <c r="AP282" i="26"/>
  <c r="AQ282" i="26"/>
  <c r="AR282" i="26"/>
  <c r="AS282" i="26"/>
  <c r="AT282" i="26"/>
  <c r="AU282" i="26"/>
  <c r="AV282" i="26"/>
  <c r="AW282" i="26"/>
  <c r="AX282" i="26"/>
  <c r="AY282" i="26"/>
  <c r="AZ282" i="26"/>
  <c r="BA282" i="26"/>
  <c r="BB282" i="26"/>
  <c r="BC282" i="26"/>
  <c r="BD282" i="26"/>
  <c r="BE282" i="26"/>
  <c r="BF282" i="26"/>
  <c r="BG282" i="26"/>
  <c r="I283" i="26"/>
  <c r="J283" i="26"/>
  <c r="K283" i="26"/>
  <c r="L283" i="26"/>
  <c r="M283" i="26"/>
  <c r="N283" i="26"/>
  <c r="O283" i="26"/>
  <c r="P283" i="26"/>
  <c r="Q283" i="26"/>
  <c r="R283" i="26"/>
  <c r="S283" i="26"/>
  <c r="T283" i="26"/>
  <c r="U283" i="26"/>
  <c r="V283" i="26"/>
  <c r="W283" i="26"/>
  <c r="X283" i="26"/>
  <c r="Y283" i="26"/>
  <c r="Z283" i="26"/>
  <c r="AA283" i="26"/>
  <c r="AB283" i="26"/>
  <c r="AC283" i="26"/>
  <c r="AD283" i="26"/>
  <c r="AE283" i="26"/>
  <c r="AF283" i="26"/>
  <c r="AG283" i="26"/>
  <c r="AH283" i="26"/>
  <c r="AI283" i="26"/>
  <c r="AJ283" i="26"/>
  <c r="AK283" i="26"/>
  <c r="AL283" i="26"/>
  <c r="AM283" i="26"/>
  <c r="AN283" i="26"/>
  <c r="AO283" i="26"/>
  <c r="AP283" i="26"/>
  <c r="AQ283" i="26"/>
  <c r="AR283" i="26"/>
  <c r="AS283" i="26"/>
  <c r="AT283" i="26"/>
  <c r="AU283" i="26"/>
  <c r="AV283" i="26"/>
  <c r="AW283" i="26"/>
  <c r="AX283" i="26"/>
  <c r="AY283" i="26"/>
  <c r="AZ283" i="26"/>
  <c r="BA283" i="26"/>
  <c r="BB283" i="26"/>
  <c r="BC283" i="26"/>
  <c r="BD283" i="26"/>
  <c r="BE283" i="26"/>
  <c r="BF283" i="26"/>
  <c r="BG283" i="26"/>
  <c r="I284" i="26"/>
  <c r="J284" i="26"/>
  <c r="K284" i="26"/>
  <c r="L284" i="26"/>
  <c r="M284" i="26"/>
  <c r="N284" i="26"/>
  <c r="O284" i="26"/>
  <c r="P284" i="26"/>
  <c r="Q284" i="26"/>
  <c r="R284" i="26"/>
  <c r="S284" i="26"/>
  <c r="T284" i="26"/>
  <c r="U284" i="26"/>
  <c r="V284" i="26"/>
  <c r="W284" i="26"/>
  <c r="X284" i="26"/>
  <c r="Y284" i="26"/>
  <c r="Z284" i="26"/>
  <c r="AA284" i="26"/>
  <c r="AB284" i="26"/>
  <c r="AC284" i="26"/>
  <c r="AD284" i="26"/>
  <c r="AE284" i="26"/>
  <c r="AF284" i="26"/>
  <c r="AG284" i="26"/>
  <c r="AH284" i="26"/>
  <c r="AI284" i="26"/>
  <c r="AJ284" i="26"/>
  <c r="AK284" i="26"/>
  <c r="AL284" i="26"/>
  <c r="AM284" i="26"/>
  <c r="AN284" i="26"/>
  <c r="AO284" i="26"/>
  <c r="AP284" i="26"/>
  <c r="AQ284" i="26"/>
  <c r="AR284" i="26"/>
  <c r="AS284" i="26"/>
  <c r="AT284" i="26"/>
  <c r="AU284" i="26"/>
  <c r="AV284" i="26"/>
  <c r="AW284" i="26"/>
  <c r="AX284" i="26"/>
  <c r="AY284" i="26"/>
  <c r="AZ284" i="26"/>
  <c r="BA284" i="26"/>
  <c r="BB284" i="26"/>
  <c r="BC284" i="26"/>
  <c r="BD284" i="26"/>
  <c r="BE284" i="26"/>
  <c r="BF284" i="26"/>
  <c r="BG284" i="26"/>
  <c r="I285" i="26"/>
  <c r="J285" i="26"/>
  <c r="K285" i="26"/>
  <c r="L285" i="26"/>
  <c r="M285" i="26"/>
  <c r="N285" i="26"/>
  <c r="O285" i="26"/>
  <c r="P285" i="26"/>
  <c r="Q285" i="26"/>
  <c r="R285" i="26"/>
  <c r="S285" i="26"/>
  <c r="T285" i="26"/>
  <c r="U285" i="26"/>
  <c r="V285" i="26"/>
  <c r="W285" i="26"/>
  <c r="X285" i="26"/>
  <c r="Y285" i="26"/>
  <c r="Z285" i="26"/>
  <c r="AA285" i="26"/>
  <c r="AB285" i="26"/>
  <c r="AC285" i="26"/>
  <c r="AD285" i="26"/>
  <c r="AE285" i="26"/>
  <c r="AF285" i="26"/>
  <c r="AG285" i="26"/>
  <c r="AH285" i="26"/>
  <c r="AI285" i="26"/>
  <c r="AJ285" i="26"/>
  <c r="AK285" i="26"/>
  <c r="AL285" i="26"/>
  <c r="AM285" i="26"/>
  <c r="AN285" i="26"/>
  <c r="AO285" i="26"/>
  <c r="AP285" i="26"/>
  <c r="AQ285" i="26"/>
  <c r="AR285" i="26"/>
  <c r="AS285" i="26"/>
  <c r="AT285" i="26"/>
  <c r="AU285" i="26"/>
  <c r="AV285" i="26"/>
  <c r="AW285" i="26"/>
  <c r="AX285" i="26"/>
  <c r="AY285" i="26"/>
  <c r="AZ285" i="26"/>
  <c r="BA285" i="26"/>
  <c r="BB285" i="26"/>
  <c r="BC285" i="26"/>
  <c r="BD285" i="26"/>
  <c r="BE285" i="26"/>
  <c r="BF285" i="26"/>
  <c r="BG285" i="26"/>
  <c r="I286" i="26"/>
  <c r="J286" i="26"/>
  <c r="K286" i="26"/>
  <c r="L286" i="26"/>
  <c r="M286" i="26"/>
  <c r="N286" i="26"/>
  <c r="O286" i="26"/>
  <c r="P286" i="26"/>
  <c r="Q286" i="26"/>
  <c r="R286" i="26"/>
  <c r="S286" i="26"/>
  <c r="T286" i="26"/>
  <c r="U286" i="26"/>
  <c r="V286" i="26"/>
  <c r="W286" i="26"/>
  <c r="X286" i="26"/>
  <c r="Y286" i="26"/>
  <c r="Z286" i="26"/>
  <c r="AA286" i="26"/>
  <c r="AB286" i="26"/>
  <c r="AC286" i="26"/>
  <c r="AD286" i="26"/>
  <c r="AE286" i="26"/>
  <c r="AF286" i="26"/>
  <c r="AG286" i="26"/>
  <c r="AH286" i="26"/>
  <c r="AI286" i="26"/>
  <c r="AJ286" i="26"/>
  <c r="AK286" i="26"/>
  <c r="AL286" i="26"/>
  <c r="AM286" i="26"/>
  <c r="AN286" i="26"/>
  <c r="AO286" i="26"/>
  <c r="AP286" i="26"/>
  <c r="AQ286" i="26"/>
  <c r="AR286" i="26"/>
  <c r="AS286" i="26"/>
  <c r="AT286" i="26"/>
  <c r="AU286" i="26"/>
  <c r="AV286" i="26"/>
  <c r="AW286" i="26"/>
  <c r="AX286" i="26"/>
  <c r="AY286" i="26"/>
  <c r="AZ286" i="26"/>
  <c r="BA286" i="26"/>
  <c r="BB286" i="26"/>
  <c r="BC286" i="26"/>
  <c r="BD286" i="26"/>
  <c r="BE286" i="26"/>
  <c r="BF286" i="26"/>
  <c r="BG286" i="26"/>
  <c r="I287" i="26"/>
  <c r="J287" i="26"/>
  <c r="K287" i="26"/>
  <c r="L287" i="26"/>
  <c r="M287" i="26"/>
  <c r="N287" i="26"/>
  <c r="O287" i="26"/>
  <c r="P287" i="26"/>
  <c r="Q287" i="26"/>
  <c r="R287" i="26"/>
  <c r="S287" i="26"/>
  <c r="T287" i="26"/>
  <c r="U287" i="26"/>
  <c r="V287" i="26"/>
  <c r="W287" i="26"/>
  <c r="X287" i="26"/>
  <c r="Y287" i="26"/>
  <c r="Z287" i="26"/>
  <c r="AA287" i="26"/>
  <c r="AB287" i="26"/>
  <c r="AC287" i="26"/>
  <c r="AD287" i="26"/>
  <c r="AE287" i="26"/>
  <c r="AF287" i="26"/>
  <c r="AG287" i="26"/>
  <c r="AH287" i="26"/>
  <c r="AI287" i="26"/>
  <c r="AJ287" i="26"/>
  <c r="AK287" i="26"/>
  <c r="AL287" i="26"/>
  <c r="AM287" i="26"/>
  <c r="AN287" i="26"/>
  <c r="AO287" i="26"/>
  <c r="AP287" i="26"/>
  <c r="AQ287" i="26"/>
  <c r="AR287" i="26"/>
  <c r="AS287" i="26"/>
  <c r="AT287" i="26"/>
  <c r="AU287" i="26"/>
  <c r="AV287" i="26"/>
  <c r="AW287" i="26"/>
  <c r="AX287" i="26"/>
  <c r="AY287" i="26"/>
  <c r="AZ287" i="26"/>
  <c r="BA287" i="26"/>
  <c r="BB287" i="26"/>
  <c r="BC287" i="26"/>
  <c r="BD287" i="26"/>
  <c r="BE287" i="26"/>
  <c r="BF287" i="26"/>
  <c r="BG287" i="26"/>
  <c r="I288" i="26"/>
  <c r="J288" i="26"/>
  <c r="K288" i="26"/>
  <c r="L288" i="26"/>
  <c r="M288" i="26"/>
  <c r="N288" i="26"/>
  <c r="O288" i="26"/>
  <c r="P288" i="26"/>
  <c r="Q288" i="26"/>
  <c r="R288" i="26"/>
  <c r="S288" i="26"/>
  <c r="T288" i="26"/>
  <c r="U288" i="26"/>
  <c r="V288" i="26"/>
  <c r="W288" i="26"/>
  <c r="X288" i="26"/>
  <c r="Y288" i="26"/>
  <c r="Z288" i="26"/>
  <c r="AA288" i="26"/>
  <c r="AB288" i="26"/>
  <c r="AC288" i="26"/>
  <c r="AD288" i="26"/>
  <c r="AE288" i="26"/>
  <c r="AF288" i="26"/>
  <c r="AG288" i="26"/>
  <c r="AH288" i="26"/>
  <c r="AI288" i="26"/>
  <c r="AJ288" i="26"/>
  <c r="AK288" i="26"/>
  <c r="AL288" i="26"/>
  <c r="AM288" i="26"/>
  <c r="AN288" i="26"/>
  <c r="AO288" i="26"/>
  <c r="AP288" i="26"/>
  <c r="AQ288" i="26"/>
  <c r="AR288" i="26"/>
  <c r="AS288" i="26"/>
  <c r="AT288" i="26"/>
  <c r="AU288" i="26"/>
  <c r="AV288" i="26"/>
  <c r="AW288" i="26"/>
  <c r="AX288" i="26"/>
  <c r="AY288" i="26"/>
  <c r="AZ288" i="26"/>
  <c r="BA288" i="26"/>
  <c r="BB288" i="26"/>
  <c r="BC288" i="26"/>
  <c r="BD288" i="26"/>
  <c r="BE288" i="26"/>
  <c r="BF288" i="26"/>
  <c r="BG288" i="26"/>
  <c r="I289" i="26"/>
  <c r="J289" i="26"/>
  <c r="K289" i="26"/>
  <c r="L289" i="26"/>
  <c r="M289" i="26"/>
  <c r="N289" i="26"/>
  <c r="O289" i="26"/>
  <c r="P289" i="26"/>
  <c r="Q289" i="26"/>
  <c r="R289" i="26"/>
  <c r="S289" i="26"/>
  <c r="T289" i="26"/>
  <c r="U289" i="26"/>
  <c r="V289" i="26"/>
  <c r="W289" i="26"/>
  <c r="X289" i="26"/>
  <c r="Y289" i="26"/>
  <c r="Z289" i="26"/>
  <c r="AA289" i="26"/>
  <c r="AB289" i="26"/>
  <c r="AC289" i="26"/>
  <c r="AD289" i="26"/>
  <c r="AE289" i="26"/>
  <c r="AF289" i="26"/>
  <c r="AG289" i="26"/>
  <c r="AH289" i="26"/>
  <c r="AI289" i="26"/>
  <c r="AJ289" i="26"/>
  <c r="AK289" i="26"/>
  <c r="AL289" i="26"/>
  <c r="AM289" i="26"/>
  <c r="AN289" i="26"/>
  <c r="AO289" i="26"/>
  <c r="AP289" i="26"/>
  <c r="AQ289" i="26"/>
  <c r="AR289" i="26"/>
  <c r="AS289" i="26"/>
  <c r="AT289" i="26"/>
  <c r="AU289" i="26"/>
  <c r="AV289" i="26"/>
  <c r="AW289" i="26"/>
  <c r="AX289" i="26"/>
  <c r="AY289" i="26"/>
  <c r="AZ289" i="26"/>
  <c r="BA289" i="26"/>
  <c r="BB289" i="26"/>
  <c r="BC289" i="26"/>
  <c r="BD289" i="26"/>
  <c r="BE289" i="26"/>
  <c r="BF289" i="26"/>
  <c r="BG289" i="26"/>
  <c r="I290" i="26"/>
  <c r="J290" i="26"/>
  <c r="K290" i="26"/>
  <c r="L290" i="26"/>
  <c r="M290" i="26"/>
  <c r="N290" i="26"/>
  <c r="O290" i="26"/>
  <c r="P290" i="26"/>
  <c r="Q290" i="26"/>
  <c r="R290" i="26"/>
  <c r="S290" i="26"/>
  <c r="T290" i="26"/>
  <c r="U290" i="26"/>
  <c r="V290" i="26"/>
  <c r="W290" i="26"/>
  <c r="X290" i="26"/>
  <c r="Y290" i="26"/>
  <c r="Z290" i="26"/>
  <c r="AA290" i="26"/>
  <c r="AB290" i="26"/>
  <c r="AC290" i="26"/>
  <c r="AD290" i="26"/>
  <c r="AE290" i="26"/>
  <c r="AF290" i="26"/>
  <c r="AG290" i="26"/>
  <c r="AH290" i="26"/>
  <c r="AI290" i="26"/>
  <c r="AJ290" i="26"/>
  <c r="AK290" i="26"/>
  <c r="AL290" i="26"/>
  <c r="AM290" i="26"/>
  <c r="AN290" i="26"/>
  <c r="AO290" i="26"/>
  <c r="AP290" i="26"/>
  <c r="AQ290" i="26"/>
  <c r="AR290" i="26"/>
  <c r="AS290" i="26"/>
  <c r="AT290" i="26"/>
  <c r="AU290" i="26"/>
  <c r="AV290" i="26"/>
  <c r="AW290" i="26"/>
  <c r="AX290" i="26"/>
  <c r="AY290" i="26"/>
  <c r="AZ290" i="26"/>
  <c r="BA290" i="26"/>
  <c r="BB290" i="26"/>
  <c r="BC290" i="26"/>
  <c r="BD290" i="26"/>
  <c r="BE290" i="26"/>
  <c r="BF290" i="26"/>
  <c r="BG290" i="26"/>
  <c r="I291" i="26"/>
  <c r="J291" i="26"/>
  <c r="K291" i="26"/>
  <c r="L291" i="26"/>
  <c r="M291" i="26"/>
  <c r="N291" i="26"/>
  <c r="O291" i="26"/>
  <c r="P291" i="26"/>
  <c r="Q291" i="26"/>
  <c r="R291" i="26"/>
  <c r="S291" i="26"/>
  <c r="T291" i="26"/>
  <c r="U291" i="26"/>
  <c r="V291" i="26"/>
  <c r="W291" i="26"/>
  <c r="X291" i="26"/>
  <c r="Y291" i="26"/>
  <c r="Z291" i="26"/>
  <c r="AA291" i="26"/>
  <c r="AB291" i="26"/>
  <c r="AC291" i="26"/>
  <c r="AD291" i="26"/>
  <c r="AE291" i="26"/>
  <c r="AF291" i="26"/>
  <c r="AG291" i="26"/>
  <c r="AH291" i="26"/>
  <c r="AI291" i="26"/>
  <c r="AJ291" i="26"/>
  <c r="AK291" i="26"/>
  <c r="AL291" i="26"/>
  <c r="AM291" i="26"/>
  <c r="AN291" i="26"/>
  <c r="AO291" i="26"/>
  <c r="AP291" i="26"/>
  <c r="AQ291" i="26"/>
  <c r="AR291" i="26"/>
  <c r="AS291" i="26"/>
  <c r="AT291" i="26"/>
  <c r="AU291" i="26"/>
  <c r="AV291" i="26"/>
  <c r="AW291" i="26"/>
  <c r="AX291" i="26"/>
  <c r="AY291" i="26"/>
  <c r="AZ291" i="26"/>
  <c r="BA291" i="26"/>
  <c r="BB291" i="26"/>
  <c r="BC291" i="26"/>
  <c r="BD291" i="26"/>
  <c r="BE291" i="26"/>
  <c r="BF291" i="26"/>
  <c r="BG291" i="26"/>
  <c r="I292" i="26"/>
  <c r="J292" i="26"/>
  <c r="K292" i="26"/>
  <c r="L292" i="26"/>
  <c r="M292" i="26"/>
  <c r="N292" i="26"/>
  <c r="O292" i="26"/>
  <c r="P292" i="26"/>
  <c r="Q292" i="26"/>
  <c r="R292" i="26"/>
  <c r="S292" i="26"/>
  <c r="T292" i="26"/>
  <c r="U292" i="26"/>
  <c r="V292" i="26"/>
  <c r="W292" i="26"/>
  <c r="X292" i="26"/>
  <c r="Y292" i="26"/>
  <c r="Z292" i="26"/>
  <c r="AA292" i="26"/>
  <c r="AB292" i="26"/>
  <c r="AC292" i="26"/>
  <c r="AD292" i="26"/>
  <c r="AE292" i="26"/>
  <c r="AF292" i="26"/>
  <c r="AG292" i="26"/>
  <c r="AH292" i="26"/>
  <c r="AI292" i="26"/>
  <c r="AJ292" i="26"/>
  <c r="AK292" i="26"/>
  <c r="AL292" i="26"/>
  <c r="AM292" i="26"/>
  <c r="AN292" i="26"/>
  <c r="AO292" i="26"/>
  <c r="AP292" i="26"/>
  <c r="AQ292" i="26"/>
  <c r="AR292" i="26"/>
  <c r="AS292" i="26"/>
  <c r="AT292" i="26"/>
  <c r="AU292" i="26"/>
  <c r="AV292" i="26"/>
  <c r="AW292" i="26"/>
  <c r="AX292" i="26"/>
  <c r="AY292" i="26"/>
  <c r="AZ292" i="26"/>
  <c r="BA292" i="26"/>
  <c r="BB292" i="26"/>
  <c r="BC292" i="26"/>
  <c r="BD292" i="26"/>
  <c r="BE292" i="26"/>
  <c r="BF292" i="26"/>
  <c r="BG292" i="26"/>
  <c r="I293" i="26"/>
  <c r="J293" i="26"/>
  <c r="K293" i="26"/>
  <c r="L293" i="26"/>
  <c r="M293" i="26"/>
  <c r="N293" i="26"/>
  <c r="O293" i="26"/>
  <c r="P293" i="26"/>
  <c r="Q293" i="26"/>
  <c r="R293" i="26"/>
  <c r="S293" i="26"/>
  <c r="T293" i="26"/>
  <c r="U293" i="26"/>
  <c r="V293" i="26"/>
  <c r="W293" i="26"/>
  <c r="X293" i="26"/>
  <c r="Y293" i="26"/>
  <c r="Z293" i="26"/>
  <c r="AA293" i="26"/>
  <c r="AB293" i="26"/>
  <c r="AC293" i="26"/>
  <c r="AD293" i="26"/>
  <c r="AE293" i="26"/>
  <c r="AF293" i="26"/>
  <c r="AG293" i="26"/>
  <c r="AH293" i="26"/>
  <c r="AI293" i="26"/>
  <c r="AJ293" i="26"/>
  <c r="AK293" i="26"/>
  <c r="AL293" i="26"/>
  <c r="AM293" i="26"/>
  <c r="AN293" i="26"/>
  <c r="AO293" i="26"/>
  <c r="AP293" i="26"/>
  <c r="AQ293" i="26"/>
  <c r="AR293" i="26"/>
  <c r="AS293" i="26"/>
  <c r="AT293" i="26"/>
  <c r="AU293" i="26"/>
  <c r="AV293" i="26"/>
  <c r="AW293" i="26"/>
  <c r="AX293" i="26"/>
  <c r="AY293" i="26"/>
  <c r="AZ293" i="26"/>
  <c r="BA293" i="26"/>
  <c r="BB293" i="26"/>
  <c r="BC293" i="26"/>
  <c r="BD293" i="26"/>
  <c r="BE293" i="26"/>
  <c r="BF293" i="26"/>
  <c r="BG293" i="26"/>
  <c r="I294" i="26"/>
  <c r="J294" i="26"/>
  <c r="K294" i="26"/>
  <c r="L294" i="26"/>
  <c r="M294" i="26"/>
  <c r="N294" i="26"/>
  <c r="O294" i="26"/>
  <c r="P294" i="26"/>
  <c r="Q294" i="26"/>
  <c r="R294" i="26"/>
  <c r="S294" i="26"/>
  <c r="T294" i="26"/>
  <c r="U294" i="26"/>
  <c r="V294" i="26"/>
  <c r="W294" i="26"/>
  <c r="X294" i="26"/>
  <c r="Y294" i="26"/>
  <c r="Z294" i="26"/>
  <c r="AA294" i="26"/>
  <c r="AB294" i="26"/>
  <c r="AC294" i="26"/>
  <c r="AD294" i="26"/>
  <c r="AE294" i="26"/>
  <c r="AF294" i="26"/>
  <c r="AG294" i="26"/>
  <c r="AH294" i="26"/>
  <c r="AI294" i="26"/>
  <c r="AJ294" i="26"/>
  <c r="AK294" i="26"/>
  <c r="AL294" i="26"/>
  <c r="AM294" i="26"/>
  <c r="AN294" i="26"/>
  <c r="AO294" i="26"/>
  <c r="AP294" i="26"/>
  <c r="AQ294" i="26"/>
  <c r="AR294" i="26"/>
  <c r="AS294" i="26"/>
  <c r="AT294" i="26"/>
  <c r="AU294" i="26"/>
  <c r="AV294" i="26"/>
  <c r="AW294" i="26"/>
  <c r="AX294" i="26"/>
  <c r="AY294" i="26"/>
  <c r="AZ294" i="26"/>
  <c r="BA294" i="26"/>
  <c r="BB294" i="26"/>
  <c r="BC294" i="26"/>
  <c r="BD294" i="26"/>
  <c r="BE294" i="26"/>
  <c r="BF294" i="26"/>
  <c r="BG294" i="26"/>
  <c r="I295" i="26"/>
  <c r="J295" i="26"/>
  <c r="K295" i="26"/>
  <c r="L295" i="26"/>
  <c r="M295" i="26"/>
  <c r="N295" i="26"/>
  <c r="O295" i="26"/>
  <c r="P295" i="26"/>
  <c r="Q295" i="26"/>
  <c r="R295" i="26"/>
  <c r="S295" i="26"/>
  <c r="T295" i="26"/>
  <c r="U295" i="26"/>
  <c r="V295" i="26"/>
  <c r="W295" i="26"/>
  <c r="X295" i="26"/>
  <c r="Y295" i="26"/>
  <c r="Z295" i="26"/>
  <c r="AA295" i="26"/>
  <c r="AB295" i="26"/>
  <c r="AC295" i="26"/>
  <c r="AD295" i="26"/>
  <c r="AE295" i="26"/>
  <c r="AF295" i="26"/>
  <c r="AG295" i="26"/>
  <c r="AH295" i="26"/>
  <c r="AI295" i="26"/>
  <c r="AJ295" i="26"/>
  <c r="AK295" i="26"/>
  <c r="AL295" i="26"/>
  <c r="AM295" i="26"/>
  <c r="AN295" i="26"/>
  <c r="AO295" i="26"/>
  <c r="AP295" i="26"/>
  <c r="AQ295" i="26"/>
  <c r="AR295" i="26"/>
  <c r="AS295" i="26"/>
  <c r="AT295" i="26"/>
  <c r="AU295" i="26"/>
  <c r="AV295" i="26"/>
  <c r="AW295" i="26"/>
  <c r="AX295" i="26"/>
  <c r="AY295" i="26"/>
  <c r="AZ295" i="26"/>
  <c r="BA295" i="26"/>
  <c r="BB295" i="26"/>
  <c r="BC295" i="26"/>
  <c r="BD295" i="26"/>
  <c r="BE295" i="26"/>
  <c r="BF295" i="26"/>
  <c r="BG295" i="26"/>
  <c r="I296" i="26"/>
  <c r="J296" i="26"/>
  <c r="K296" i="26"/>
  <c r="L296" i="26"/>
  <c r="M296" i="26"/>
  <c r="N296" i="26"/>
  <c r="O296" i="26"/>
  <c r="P296" i="26"/>
  <c r="Q296" i="26"/>
  <c r="R296" i="26"/>
  <c r="S296" i="26"/>
  <c r="T296" i="26"/>
  <c r="U296" i="26"/>
  <c r="V296" i="26"/>
  <c r="W296" i="26"/>
  <c r="X296" i="26"/>
  <c r="Y296" i="26"/>
  <c r="Z296" i="26"/>
  <c r="AA296" i="26"/>
  <c r="AB296" i="26"/>
  <c r="AC296" i="26"/>
  <c r="AD296" i="26"/>
  <c r="AE296" i="26"/>
  <c r="AF296" i="26"/>
  <c r="AG296" i="26"/>
  <c r="AH296" i="26"/>
  <c r="AI296" i="26"/>
  <c r="AJ296" i="26"/>
  <c r="AK296" i="26"/>
  <c r="AL296" i="26"/>
  <c r="AM296" i="26"/>
  <c r="AN296" i="26"/>
  <c r="AO296" i="26"/>
  <c r="AP296" i="26"/>
  <c r="AQ296" i="26"/>
  <c r="AR296" i="26"/>
  <c r="AS296" i="26"/>
  <c r="AT296" i="26"/>
  <c r="AU296" i="26"/>
  <c r="AV296" i="26"/>
  <c r="AW296" i="26"/>
  <c r="AX296" i="26"/>
  <c r="AY296" i="26"/>
  <c r="AZ296" i="26"/>
  <c r="BA296" i="26"/>
  <c r="BB296" i="26"/>
  <c r="BC296" i="26"/>
  <c r="BD296" i="26"/>
  <c r="BE296" i="26"/>
  <c r="BF296" i="26"/>
  <c r="BG296" i="26"/>
  <c r="I297" i="26"/>
  <c r="J297" i="26"/>
  <c r="K297" i="26"/>
  <c r="L297" i="26"/>
  <c r="M297" i="26"/>
  <c r="N297" i="26"/>
  <c r="O297" i="26"/>
  <c r="P297" i="26"/>
  <c r="Q297" i="26"/>
  <c r="R297" i="26"/>
  <c r="S297" i="26"/>
  <c r="T297" i="26"/>
  <c r="U297" i="26"/>
  <c r="V297" i="26"/>
  <c r="W297" i="26"/>
  <c r="X297" i="26"/>
  <c r="Y297" i="26"/>
  <c r="Z297" i="26"/>
  <c r="AA297" i="26"/>
  <c r="AB297" i="26"/>
  <c r="AC297" i="26"/>
  <c r="AD297" i="26"/>
  <c r="AE297" i="26"/>
  <c r="AF297" i="26"/>
  <c r="AG297" i="26"/>
  <c r="AH297" i="26"/>
  <c r="AI297" i="26"/>
  <c r="AJ297" i="26"/>
  <c r="AK297" i="26"/>
  <c r="AL297" i="26"/>
  <c r="AM297" i="26"/>
  <c r="AN297" i="26"/>
  <c r="AO297" i="26"/>
  <c r="AP297" i="26"/>
  <c r="AQ297" i="26"/>
  <c r="AR297" i="26"/>
  <c r="AS297" i="26"/>
  <c r="AT297" i="26"/>
  <c r="AU297" i="26"/>
  <c r="AV297" i="26"/>
  <c r="AW297" i="26"/>
  <c r="AX297" i="26"/>
  <c r="AY297" i="26"/>
  <c r="AZ297" i="26"/>
  <c r="BA297" i="26"/>
  <c r="BB297" i="26"/>
  <c r="BC297" i="26"/>
  <c r="BD297" i="26"/>
  <c r="BE297" i="26"/>
  <c r="BF297" i="26"/>
  <c r="BG297" i="26"/>
  <c r="I298" i="26"/>
  <c r="J298" i="26"/>
  <c r="K298" i="26"/>
  <c r="L298" i="26"/>
  <c r="M298" i="26"/>
  <c r="N298" i="26"/>
  <c r="O298" i="26"/>
  <c r="P298" i="26"/>
  <c r="Q298" i="26"/>
  <c r="R298" i="26"/>
  <c r="S298" i="26"/>
  <c r="T298" i="26"/>
  <c r="U298" i="26"/>
  <c r="V298" i="26"/>
  <c r="W298" i="26"/>
  <c r="X298" i="26"/>
  <c r="Y298" i="26"/>
  <c r="Z298" i="26"/>
  <c r="AA298" i="26"/>
  <c r="AB298" i="26"/>
  <c r="AC298" i="26"/>
  <c r="AD298" i="26"/>
  <c r="AE298" i="26"/>
  <c r="AF298" i="26"/>
  <c r="AG298" i="26"/>
  <c r="AH298" i="26"/>
  <c r="AI298" i="26"/>
  <c r="AJ298" i="26"/>
  <c r="AK298" i="26"/>
  <c r="AL298" i="26"/>
  <c r="AM298" i="26"/>
  <c r="AN298" i="26"/>
  <c r="AO298" i="26"/>
  <c r="AP298" i="26"/>
  <c r="AQ298" i="26"/>
  <c r="AR298" i="26"/>
  <c r="AS298" i="26"/>
  <c r="AT298" i="26"/>
  <c r="AU298" i="26"/>
  <c r="AV298" i="26"/>
  <c r="AW298" i="26"/>
  <c r="AX298" i="26"/>
  <c r="AY298" i="26"/>
  <c r="AZ298" i="26"/>
  <c r="BA298" i="26"/>
  <c r="BB298" i="26"/>
  <c r="BC298" i="26"/>
  <c r="BD298" i="26"/>
  <c r="BE298" i="26"/>
  <c r="BF298" i="26"/>
  <c r="BG298" i="26"/>
  <c r="I299" i="26"/>
  <c r="J299" i="26"/>
  <c r="K299" i="26"/>
  <c r="L299" i="26"/>
  <c r="M299" i="26"/>
  <c r="N299" i="26"/>
  <c r="O299" i="26"/>
  <c r="P299" i="26"/>
  <c r="Q299" i="26"/>
  <c r="R299" i="26"/>
  <c r="S299" i="26"/>
  <c r="T299" i="26"/>
  <c r="U299" i="26"/>
  <c r="V299" i="26"/>
  <c r="W299" i="26"/>
  <c r="X299" i="26"/>
  <c r="Y299" i="26"/>
  <c r="Z299" i="26"/>
  <c r="AA299" i="26"/>
  <c r="AB299" i="26"/>
  <c r="AC299" i="26"/>
  <c r="AD299" i="26"/>
  <c r="AE299" i="26"/>
  <c r="AF299" i="26"/>
  <c r="AG299" i="26"/>
  <c r="AH299" i="26"/>
  <c r="AI299" i="26"/>
  <c r="AJ299" i="26"/>
  <c r="AK299" i="26"/>
  <c r="AL299" i="26"/>
  <c r="AM299" i="26"/>
  <c r="AN299" i="26"/>
  <c r="AO299" i="26"/>
  <c r="AP299" i="26"/>
  <c r="AQ299" i="26"/>
  <c r="AR299" i="26"/>
  <c r="AS299" i="26"/>
  <c r="AT299" i="26"/>
  <c r="AU299" i="26"/>
  <c r="AV299" i="26"/>
  <c r="AW299" i="26"/>
  <c r="AX299" i="26"/>
  <c r="AY299" i="26"/>
  <c r="AZ299" i="26"/>
  <c r="BA299" i="26"/>
  <c r="BB299" i="26"/>
  <c r="BC299" i="26"/>
  <c r="BD299" i="26"/>
  <c r="BE299" i="26"/>
  <c r="BF299" i="26"/>
  <c r="BG299" i="26"/>
  <c r="I300" i="26"/>
  <c r="J300" i="26"/>
  <c r="K300" i="26"/>
  <c r="L300" i="26"/>
  <c r="M300" i="26"/>
  <c r="N300" i="26"/>
  <c r="O300" i="26"/>
  <c r="P300" i="26"/>
  <c r="Q300" i="26"/>
  <c r="R300" i="26"/>
  <c r="S300" i="26"/>
  <c r="T300" i="26"/>
  <c r="U300" i="26"/>
  <c r="V300" i="26"/>
  <c r="W300" i="26"/>
  <c r="X300" i="26"/>
  <c r="Y300" i="26"/>
  <c r="Z300" i="26"/>
  <c r="AA300" i="26"/>
  <c r="AB300" i="26"/>
  <c r="AC300" i="26"/>
  <c r="AD300" i="26"/>
  <c r="AE300" i="26"/>
  <c r="AF300" i="26"/>
  <c r="AG300" i="26"/>
  <c r="AH300" i="26"/>
  <c r="AI300" i="26"/>
  <c r="AJ300" i="26"/>
  <c r="AK300" i="26"/>
  <c r="AL300" i="26"/>
  <c r="AM300" i="26"/>
  <c r="AN300" i="26"/>
  <c r="AO300" i="26"/>
  <c r="AP300" i="26"/>
  <c r="AQ300" i="26"/>
  <c r="AR300" i="26"/>
  <c r="AS300" i="26"/>
  <c r="AT300" i="26"/>
  <c r="AU300" i="26"/>
  <c r="AV300" i="26"/>
  <c r="AW300" i="26"/>
  <c r="AX300" i="26"/>
  <c r="AY300" i="26"/>
  <c r="AZ300" i="26"/>
  <c r="BA300" i="26"/>
  <c r="BB300" i="26"/>
  <c r="BC300" i="26"/>
  <c r="BD300" i="26"/>
  <c r="BE300" i="26"/>
  <c r="BF300" i="26"/>
  <c r="BG300" i="26"/>
  <c r="I301" i="26"/>
  <c r="J301" i="26"/>
  <c r="K301" i="26"/>
  <c r="L301" i="26"/>
  <c r="M301" i="26"/>
  <c r="N301" i="26"/>
  <c r="O301" i="26"/>
  <c r="P301" i="26"/>
  <c r="Q301" i="26"/>
  <c r="R301" i="26"/>
  <c r="S301" i="26"/>
  <c r="T301" i="26"/>
  <c r="U301" i="26"/>
  <c r="V301" i="26"/>
  <c r="W301" i="26"/>
  <c r="X301" i="26"/>
  <c r="Y301" i="26"/>
  <c r="Z301" i="26"/>
  <c r="AA301" i="26"/>
  <c r="AB301" i="26"/>
  <c r="AC301" i="26"/>
  <c r="AD301" i="26"/>
  <c r="AE301" i="26"/>
  <c r="AF301" i="26"/>
  <c r="AG301" i="26"/>
  <c r="AH301" i="26"/>
  <c r="AI301" i="26"/>
  <c r="AJ301" i="26"/>
  <c r="AK301" i="26"/>
  <c r="AL301" i="26"/>
  <c r="AM301" i="26"/>
  <c r="AN301" i="26"/>
  <c r="AO301" i="26"/>
  <c r="AP301" i="26"/>
  <c r="AQ301" i="26"/>
  <c r="AR301" i="26"/>
  <c r="AS301" i="26"/>
  <c r="AT301" i="26"/>
  <c r="AU301" i="26"/>
  <c r="AV301" i="26"/>
  <c r="AW301" i="26"/>
  <c r="AX301" i="26"/>
  <c r="AY301" i="26"/>
  <c r="AZ301" i="26"/>
  <c r="BA301" i="26"/>
  <c r="BB301" i="26"/>
  <c r="BC301" i="26"/>
  <c r="BD301" i="26"/>
  <c r="BE301" i="26"/>
  <c r="BF301" i="26"/>
  <c r="BG301" i="26"/>
  <c r="I302" i="26"/>
  <c r="J302" i="26"/>
  <c r="K302" i="26"/>
  <c r="L302" i="26"/>
  <c r="M302" i="26"/>
  <c r="N302" i="26"/>
  <c r="O302" i="26"/>
  <c r="P302" i="26"/>
  <c r="Q302" i="26"/>
  <c r="R302" i="26"/>
  <c r="S302" i="26"/>
  <c r="T302" i="26"/>
  <c r="U302" i="26"/>
  <c r="V302" i="26"/>
  <c r="W302" i="26"/>
  <c r="X302" i="26"/>
  <c r="Y302" i="26"/>
  <c r="Z302" i="26"/>
  <c r="AA302" i="26"/>
  <c r="AB302" i="26"/>
  <c r="AC302" i="26"/>
  <c r="AD302" i="26"/>
  <c r="AE302" i="26"/>
  <c r="AF302" i="26"/>
  <c r="AG302" i="26"/>
  <c r="AH302" i="26"/>
  <c r="AI302" i="26"/>
  <c r="AJ302" i="26"/>
  <c r="AK302" i="26"/>
  <c r="AL302" i="26"/>
  <c r="AM302" i="26"/>
  <c r="AN302" i="26"/>
  <c r="AO302" i="26"/>
  <c r="AP302" i="26"/>
  <c r="AQ302" i="26"/>
  <c r="AR302" i="26"/>
  <c r="AS302" i="26"/>
  <c r="AT302" i="26"/>
  <c r="AU302" i="26"/>
  <c r="AV302" i="26"/>
  <c r="AW302" i="26"/>
  <c r="AX302" i="26"/>
  <c r="AY302" i="26"/>
  <c r="AZ302" i="26"/>
  <c r="BA302" i="26"/>
  <c r="BB302" i="26"/>
  <c r="BC302" i="26"/>
  <c r="BD302" i="26"/>
  <c r="BE302" i="26"/>
  <c r="BF302" i="26"/>
  <c r="BG302" i="26"/>
  <c r="I303" i="26"/>
  <c r="J303" i="26"/>
  <c r="K303" i="26"/>
  <c r="L303" i="26"/>
  <c r="M303" i="26"/>
  <c r="N303" i="26"/>
  <c r="O303" i="26"/>
  <c r="P303" i="26"/>
  <c r="Q303" i="26"/>
  <c r="R303" i="26"/>
  <c r="S303" i="26"/>
  <c r="T303" i="26"/>
  <c r="U303" i="26"/>
  <c r="V303" i="26"/>
  <c r="W303" i="26"/>
  <c r="X303" i="26"/>
  <c r="Y303" i="26"/>
  <c r="Z303" i="26"/>
  <c r="AA303" i="26"/>
  <c r="AB303" i="26"/>
  <c r="AC303" i="26"/>
  <c r="AD303" i="26"/>
  <c r="AE303" i="26"/>
  <c r="AF303" i="26"/>
  <c r="AG303" i="26"/>
  <c r="AH303" i="26"/>
  <c r="AI303" i="26"/>
  <c r="AJ303" i="26"/>
  <c r="AK303" i="26"/>
  <c r="AL303" i="26"/>
  <c r="AM303" i="26"/>
  <c r="AN303" i="26"/>
  <c r="AO303" i="26"/>
  <c r="AP303" i="26"/>
  <c r="AQ303" i="26"/>
  <c r="AR303" i="26"/>
  <c r="AS303" i="26"/>
  <c r="AT303" i="26"/>
  <c r="AU303" i="26"/>
  <c r="AV303" i="26"/>
  <c r="AW303" i="26"/>
  <c r="AX303" i="26"/>
  <c r="AY303" i="26"/>
  <c r="AZ303" i="26"/>
  <c r="BA303" i="26"/>
  <c r="BB303" i="26"/>
  <c r="BC303" i="26"/>
  <c r="BD303" i="26"/>
  <c r="BE303" i="26"/>
  <c r="BF303" i="26"/>
  <c r="BG303" i="26"/>
  <c r="I304" i="26"/>
  <c r="J304" i="26"/>
  <c r="K304" i="26"/>
  <c r="L304" i="26"/>
  <c r="M304" i="26"/>
  <c r="N304" i="26"/>
  <c r="O304" i="26"/>
  <c r="P304" i="26"/>
  <c r="Q304" i="26"/>
  <c r="R304" i="26"/>
  <c r="S304" i="26"/>
  <c r="T304" i="26"/>
  <c r="U304" i="26"/>
  <c r="V304" i="26"/>
  <c r="W304" i="26"/>
  <c r="X304" i="26"/>
  <c r="Y304" i="26"/>
  <c r="Z304" i="26"/>
  <c r="AA304" i="26"/>
  <c r="AB304" i="26"/>
  <c r="AC304" i="26"/>
  <c r="AD304" i="26"/>
  <c r="AE304" i="26"/>
  <c r="AF304" i="26"/>
  <c r="AG304" i="26"/>
  <c r="AH304" i="26"/>
  <c r="AI304" i="26"/>
  <c r="AJ304" i="26"/>
  <c r="AK304" i="26"/>
  <c r="AL304" i="26"/>
  <c r="AM304" i="26"/>
  <c r="AN304" i="26"/>
  <c r="AO304" i="26"/>
  <c r="AP304" i="26"/>
  <c r="AQ304" i="26"/>
  <c r="AR304" i="26"/>
  <c r="AS304" i="26"/>
  <c r="AT304" i="26"/>
  <c r="AU304" i="26"/>
  <c r="AV304" i="26"/>
  <c r="AW304" i="26"/>
  <c r="AX304" i="26"/>
  <c r="AY304" i="26"/>
  <c r="AZ304" i="26"/>
  <c r="BA304" i="26"/>
  <c r="BB304" i="26"/>
  <c r="BC304" i="26"/>
  <c r="BD304" i="26"/>
  <c r="BE304" i="26"/>
  <c r="BF304" i="26"/>
  <c r="BG304" i="26"/>
  <c r="I305" i="26"/>
  <c r="J305" i="26"/>
  <c r="K305" i="26"/>
  <c r="L305" i="26"/>
  <c r="M305" i="26"/>
  <c r="N305" i="26"/>
  <c r="O305" i="26"/>
  <c r="P305" i="26"/>
  <c r="Q305" i="26"/>
  <c r="R305" i="26"/>
  <c r="S305" i="26"/>
  <c r="T305" i="26"/>
  <c r="U305" i="26"/>
  <c r="V305" i="26"/>
  <c r="W305" i="26"/>
  <c r="X305" i="26"/>
  <c r="Y305" i="26"/>
  <c r="Z305" i="26"/>
  <c r="AA305" i="26"/>
  <c r="AB305" i="26"/>
  <c r="AC305" i="26"/>
  <c r="AD305" i="26"/>
  <c r="AE305" i="26"/>
  <c r="AF305" i="26"/>
  <c r="AG305" i="26"/>
  <c r="AH305" i="26"/>
  <c r="AI305" i="26"/>
  <c r="AJ305" i="26"/>
  <c r="AK305" i="26"/>
  <c r="AL305" i="26"/>
  <c r="AM305" i="26"/>
  <c r="AN305" i="26"/>
  <c r="AO305" i="26"/>
  <c r="AP305" i="26"/>
  <c r="AQ305" i="26"/>
  <c r="AR305" i="26"/>
  <c r="AS305" i="26"/>
  <c r="AT305" i="26"/>
  <c r="AU305" i="26"/>
  <c r="AV305" i="26"/>
  <c r="AW305" i="26"/>
  <c r="AX305" i="26"/>
  <c r="AY305" i="26"/>
  <c r="AZ305" i="26"/>
  <c r="BA305" i="26"/>
  <c r="BB305" i="26"/>
  <c r="BC305" i="26"/>
  <c r="BD305" i="26"/>
  <c r="BE305" i="26"/>
  <c r="BF305" i="26"/>
  <c r="BG305" i="26"/>
  <c r="I306" i="26"/>
  <c r="J306" i="26"/>
  <c r="K306" i="26"/>
  <c r="L306" i="26"/>
  <c r="M306" i="26"/>
  <c r="N306" i="26"/>
  <c r="O306" i="26"/>
  <c r="P306" i="26"/>
  <c r="Q306" i="26"/>
  <c r="R306" i="26"/>
  <c r="S306" i="26"/>
  <c r="T306" i="26"/>
  <c r="U306" i="26"/>
  <c r="V306" i="26"/>
  <c r="W306" i="26"/>
  <c r="X306" i="26"/>
  <c r="Y306" i="26"/>
  <c r="Z306" i="26"/>
  <c r="AA306" i="26"/>
  <c r="AB306" i="26"/>
  <c r="AC306" i="26"/>
  <c r="AD306" i="26"/>
  <c r="AE306" i="26"/>
  <c r="AF306" i="26"/>
  <c r="AG306" i="26"/>
  <c r="AH306" i="26"/>
  <c r="AI306" i="26"/>
  <c r="AJ306" i="26"/>
  <c r="AK306" i="26"/>
  <c r="AL306" i="26"/>
  <c r="AM306" i="26"/>
  <c r="AN306" i="26"/>
  <c r="AO306" i="26"/>
  <c r="AP306" i="26"/>
  <c r="AQ306" i="26"/>
  <c r="AR306" i="26"/>
  <c r="AS306" i="26"/>
  <c r="AT306" i="26"/>
  <c r="AU306" i="26"/>
  <c r="AV306" i="26"/>
  <c r="AW306" i="26"/>
  <c r="AX306" i="26"/>
  <c r="AY306" i="26"/>
  <c r="AZ306" i="26"/>
  <c r="BA306" i="26"/>
  <c r="BB306" i="26"/>
  <c r="BC306" i="26"/>
  <c r="BD306" i="26"/>
  <c r="BE306" i="26"/>
  <c r="BF306" i="26"/>
  <c r="BG306" i="26"/>
  <c r="H8" i="26"/>
  <c r="H9" i="26"/>
  <c r="H10" i="26"/>
  <c r="H11" i="26"/>
  <c r="H12" i="26"/>
  <c r="H13" i="26"/>
  <c r="H14" i="26"/>
  <c r="H15" i="26"/>
  <c r="H16" i="26"/>
  <c r="H17" i="26"/>
  <c r="H18" i="26"/>
  <c r="H19" i="26"/>
  <c r="H20" i="26"/>
  <c r="H21" i="26"/>
  <c r="H22" i="26"/>
  <c r="H23" i="26"/>
  <c r="H24" i="26"/>
  <c r="H25" i="26"/>
  <c r="H26" i="26"/>
  <c r="H27" i="26"/>
  <c r="H28" i="26"/>
  <c r="H29" i="26"/>
  <c r="H30" i="26"/>
  <c r="H31" i="26"/>
  <c r="H32" i="26"/>
  <c r="H33" i="26"/>
  <c r="H34" i="26"/>
  <c r="H35" i="26"/>
  <c r="H36" i="26"/>
  <c r="H37" i="26"/>
  <c r="H38" i="26"/>
  <c r="H39" i="26"/>
  <c r="H40" i="26"/>
  <c r="H41" i="26"/>
  <c r="H42" i="26"/>
  <c r="H43" i="26"/>
  <c r="H44" i="26"/>
  <c r="H45" i="26"/>
  <c r="H46" i="26"/>
  <c r="H47" i="26"/>
  <c r="H48" i="26"/>
  <c r="H49" i="26"/>
  <c r="H50" i="26"/>
  <c r="H51" i="26"/>
  <c r="H52" i="26"/>
  <c r="H53" i="26"/>
  <c r="H54" i="26"/>
  <c r="H55" i="26"/>
  <c r="H56" i="26"/>
  <c r="H57" i="26"/>
  <c r="H58" i="26"/>
  <c r="H59" i="26"/>
  <c r="H60" i="26"/>
  <c r="H61" i="26"/>
  <c r="H62" i="26"/>
  <c r="H63" i="26"/>
  <c r="H64" i="26"/>
  <c r="H65" i="26"/>
  <c r="H66" i="26"/>
  <c r="H67" i="26"/>
  <c r="H68" i="26"/>
  <c r="H69" i="26"/>
  <c r="H70" i="26"/>
  <c r="H71" i="26"/>
  <c r="H72" i="26"/>
  <c r="H73" i="26"/>
  <c r="H74" i="26"/>
  <c r="H75" i="26"/>
  <c r="H76" i="26"/>
  <c r="H77" i="26"/>
  <c r="H78" i="26"/>
  <c r="H79" i="26"/>
  <c r="H80" i="26"/>
  <c r="H81" i="26"/>
  <c r="H82" i="26"/>
  <c r="H83" i="26"/>
  <c r="H84" i="26"/>
  <c r="H85" i="26"/>
  <c r="H86" i="26"/>
  <c r="H87" i="26"/>
  <c r="H88" i="26"/>
  <c r="H89" i="26"/>
  <c r="H90" i="26"/>
  <c r="H91" i="26"/>
  <c r="H92" i="26"/>
  <c r="H93" i="26"/>
  <c r="H94" i="26"/>
  <c r="H95" i="26"/>
  <c r="H96" i="26"/>
  <c r="H97" i="26"/>
  <c r="H98" i="26"/>
  <c r="H99" i="26"/>
  <c r="H100" i="26"/>
  <c r="H101" i="26"/>
  <c r="H102" i="26"/>
  <c r="H103" i="26"/>
  <c r="H104" i="26"/>
  <c r="H105" i="26"/>
  <c r="H106" i="26"/>
  <c r="H107" i="26"/>
  <c r="H108" i="26"/>
  <c r="H109" i="26"/>
  <c r="H110" i="26"/>
  <c r="H111" i="26"/>
  <c r="H112" i="26"/>
  <c r="H113" i="26"/>
  <c r="H114" i="26"/>
  <c r="H115" i="26"/>
  <c r="H116" i="26"/>
  <c r="H117" i="26"/>
  <c r="H118" i="26"/>
  <c r="H119" i="26"/>
  <c r="H120" i="26"/>
  <c r="H121" i="26"/>
  <c r="H122" i="26"/>
  <c r="H123" i="26"/>
  <c r="H124" i="26"/>
  <c r="H125" i="26"/>
  <c r="H126" i="26"/>
  <c r="H127" i="26"/>
  <c r="H128" i="26"/>
  <c r="H129" i="26"/>
  <c r="H130" i="26"/>
  <c r="H131" i="26"/>
  <c r="H132" i="26"/>
  <c r="H133" i="26"/>
  <c r="H134" i="26"/>
  <c r="H135" i="26"/>
  <c r="H136" i="26"/>
  <c r="H137" i="26"/>
  <c r="H138" i="26"/>
  <c r="H139" i="26"/>
  <c r="H140" i="26"/>
  <c r="H141" i="26"/>
  <c r="H142" i="26"/>
  <c r="H143" i="26"/>
  <c r="H144" i="26"/>
  <c r="H145" i="26"/>
  <c r="H146" i="26"/>
  <c r="H147" i="26"/>
  <c r="H148" i="26"/>
  <c r="H149" i="26"/>
  <c r="H150" i="26"/>
  <c r="H151" i="26"/>
  <c r="H152" i="26"/>
  <c r="H153" i="26"/>
  <c r="H154" i="26"/>
  <c r="H155" i="26"/>
  <c r="H156" i="26"/>
  <c r="H157" i="26"/>
  <c r="H158" i="26"/>
  <c r="H159" i="26"/>
  <c r="H160" i="26"/>
  <c r="H161" i="26"/>
  <c r="H162" i="26"/>
  <c r="H163" i="26"/>
  <c r="H164" i="26"/>
  <c r="H165" i="26"/>
  <c r="H166" i="26"/>
  <c r="H167" i="26"/>
  <c r="H168" i="26"/>
  <c r="H169" i="26"/>
  <c r="H170" i="26"/>
  <c r="H171" i="26"/>
  <c r="H172" i="26"/>
  <c r="H173" i="26"/>
  <c r="H174" i="26"/>
  <c r="H175" i="26"/>
  <c r="H176" i="26"/>
  <c r="H177" i="26"/>
  <c r="H178" i="26"/>
  <c r="H179" i="26"/>
  <c r="H180" i="26"/>
  <c r="H181" i="26"/>
  <c r="H182" i="26"/>
  <c r="H183" i="26"/>
  <c r="H184" i="26"/>
  <c r="H185" i="26"/>
  <c r="H186" i="26"/>
  <c r="H187" i="26"/>
  <c r="H188" i="26"/>
  <c r="H189" i="26"/>
  <c r="H190" i="26"/>
  <c r="H191" i="26"/>
  <c r="H192" i="26"/>
  <c r="H193" i="26"/>
  <c r="H194" i="26"/>
  <c r="H195" i="26"/>
  <c r="H196" i="26"/>
  <c r="H197" i="26"/>
  <c r="H198" i="26"/>
  <c r="H199" i="26"/>
  <c r="H200" i="26"/>
  <c r="H201" i="26"/>
  <c r="H202" i="26"/>
  <c r="H203" i="26"/>
  <c r="H204" i="26"/>
  <c r="H205" i="26"/>
  <c r="H206" i="26"/>
  <c r="H207" i="26"/>
  <c r="H208" i="26"/>
  <c r="H209" i="26"/>
  <c r="H210" i="26"/>
  <c r="H211" i="26"/>
  <c r="H212" i="26"/>
  <c r="H213" i="26"/>
  <c r="H214" i="26"/>
  <c r="H215" i="26"/>
  <c r="H216" i="26"/>
  <c r="H217" i="26"/>
  <c r="H218" i="26"/>
  <c r="H219" i="26"/>
  <c r="H220" i="26"/>
  <c r="H221" i="26"/>
  <c r="H222" i="26"/>
  <c r="H223" i="26"/>
  <c r="H224" i="26"/>
  <c r="H225" i="26"/>
  <c r="H226" i="26"/>
  <c r="H227" i="26"/>
  <c r="H228" i="26"/>
  <c r="H229" i="26"/>
  <c r="H230" i="26"/>
  <c r="H231" i="26"/>
  <c r="H232" i="26"/>
  <c r="H233" i="26"/>
  <c r="H234" i="26"/>
  <c r="H235" i="26"/>
  <c r="H236" i="26"/>
  <c r="H237" i="26"/>
  <c r="H238" i="26"/>
  <c r="H239" i="26"/>
  <c r="H240" i="26"/>
  <c r="H241" i="26"/>
  <c r="H242" i="26"/>
  <c r="H243" i="26"/>
  <c r="H244" i="26"/>
  <c r="H245" i="26"/>
  <c r="H246" i="26"/>
  <c r="H247" i="26"/>
  <c r="H248" i="26"/>
  <c r="H249" i="26"/>
  <c r="H250" i="26"/>
  <c r="H251" i="26"/>
  <c r="H252" i="26"/>
  <c r="H253" i="26"/>
  <c r="H254" i="26"/>
  <c r="H255" i="26"/>
  <c r="H256" i="26"/>
  <c r="H257" i="26"/>
  <c r="H258" i="26"/>
  <c r="H259" i="26"/>
  <c r="H260" i="26"/>
  <c r="H261" i="26"/>
  <c r="H262" i="26"/>
  <c r="H263" i="26"/>
  <c r="H264" i="26"/>
  <c r="H265" i="26"/>
  <c r="H266" i="26"/>
  <c r="H267" i="26"/>
  <c r="H268" i="26"/>
  <c r="H269" i="26"/>
  <c r="H270" i="26"/>
  <c r="H271" i="26"/>
  <c r="H272" i="26"/>
  <c r="H273" i="26"/>
  <c r="H274" i="26"/>
  <c r="H275" i="26"/>
  <c r="H276" i="26"/>
  <c r="H277" i="26"/>
  <c r="H278" i="26"/>
  <c r="H279" i="26"/>
  <c r="H280" i="26"/>
  <c r="H281" i="26"/>
  <c r="H282" i="26"/>
  <c r="H283" i="26"/>
  <c r="H284" i="26"/>
  <c r="H285" i="26"/>
  <c r="H286" i="26"/>
  <c r="H287" i="26"/>
  <c r="H288" i="26"/>
  <c r="H289" i="26"/>
  <c r="H290" i="26"/>
  <c r="H291" i="26"/>
  <c r="H292" i="26"/>
  <c r="H293" i="26"/>
  <c r="H294" i="26"/>
  <c r="H295" i="26"/>
  <c r="H296" i="26"/>
  <c r="H297" i="26"/>
  <c r="H298" i="26"/>
  <c r="H299" i="26"/>
  <c r="H300" i="26"/>
  <c r="H301" i="26"/>
  <c r="H302" i="26"/>
  <c r="H303" i="26"/>
  <c r="H304" i="26"/>
  <c r="H305" i="26"/>
  <c r="H306" i="26"/>
  <c r="H7" i="26"/>
  <c r="D6" i="19"/>
  <c r="F199" i="19"/>
  <c r="L76" i="19"/>
  <c r="L1310" i="19"/>
  <c r="G1322" i="19" s="1"/>
  <c r="W98" i="13" s="1"/>
  <c r="L1309" i="19"/>
  <c r="D1322" i="19"/>
  <c r="D1316" i="19"/>
  <c r="D1317" i="19"/>
  <c r="D1318" i="19"/>
  <c r="D1319" i="19"/>
  <c r="D1320" i="19"/>
  <c r="D1321" i="19"/>
  <c r="D1315" i="19"/>
  <c r="D1314" i="19"/>
  <c r="L744" i="19"/>
  <c r="Y50" i="13"/>
  <c r="X50" i="13"/>
  <c r="O49" i="13"/>
  <c r="I50" i="13"/>
  <c r="H50" i="13"/>
  <c r="G50" i="13"/>
  <c r="F50" i="13"/>
  <c r="E50" i="13"/>
  <c r="L616" i="19"/>
  <c r="L612" i="19"/>
  <c r="L613" i="19"/>
  <c r="L614" i="19"/>
  <c r="L615" i="19"/>
  <c r="L611" i="19"/>
  <c r="L571" i="19"/>
  <c r="L577" i="19"/>
  <c r="L572" i="19"/>
  <c r="M581" i="19" s="1"/>
  <c r="L573" i="19"/>
  <c r="M582" i="19" s="1"/>
  <c r="L574" i="19"/>
  <c r="L575" i="19"/>
  <c r="L576" i="19"/>
  <c r="M533" i="19"/>
  <c r="M534" i="19"/>
  <c r="M535" i="19"/>
  <c r="M536" i="19"/>
  <c r="M537" i="19"/>
  <c r="M538" i="19"/>
  <c r="M539" i="19"/>
  <c r="M540" i="19"/>
  <c r="M541" i="19"/>
  <c r="M542" i="19"/>
  <c r="M532" i="19"/>
  <c r="L531" i="19"/>
  <c r="L530" i="19"/>
  <c r="L529" i="19"/>
  <c r="G364" i="19"/>
  <c r="W102" i="13"/>
  <c r="AR102" i="13" s="1"/>
  <c r="L272" i="19"/>
  <c r="L226" i="19"/>
  <c r="L170" i="19"/>
  <c r="G176" i="19"/>
  <c r="G365" i="19"/>
  <c r="L518" i="19"/>
  <c r="L193" i="19"/>
  <c r="L433" i="19"/>
  <c r="L357" i="19"/>
  <c r="L606" i="19"/>
  <c r="L316" i="19"/>
  <c r="L454" i="19"/>
  <c r="L557" i="19"/>
  <c r="L294" i="19"/>
  <c r="L376" i="19"/>
  <c r="L475" i="19"/>
  <c r="L251" i="19"/>
  <c r="L407" i="19"/>
  <c r="L497" i="19"/>
  <c r="L586" i="19"/>
  <c r="L336" i="19"/>
  <c r="L127" i="19"/>
  <c r="L85" i="19"/>
  <c r="G76" i="19"/>
  <c r="G72" i="19"/>
  <c r="G48" i="19"/>
  <c r="G40" i="19"/>
  <c r="L63" i="19"/>
  <c r="L35" i="19"/>
  <c r="L12" i="19"/>
  <c r="L145" i="19"/>
  <c r="L123" i="19"/>
  <c r="E705" i="19"/>
  <c r="H44" i="21" s="1"/>
  <c r="J48" i="21"/>
  <c r="B46" i="21"/>
  <c r="B45" i="21"/>
  <c r="B44" i="21"/>
  <c r="L724" i="19"/>
  <c r="L701" i="19"/>
  <c r="L676" i="19"/>
  <c r="L656" i="19"/>
  <c r="L633" i="19"/>
  <c r="L770" i="19"/>
  <c r="L844" i="19"/>
  <c r="L823" i="19"/>
  <c r="L800" i="19"/>
  <c r="L766" i="19"/>
  <c r="L936" i="19"/>
  <c r="L928" i="19"/>
  <c r="L929" i="19"/>
  <c r="L930" i="19"/>
  <c r="L931" i="19"/>
  <c r="L932" i="19"/>
  <c r="L933" i="19"/>
  <c r="L934" i="19"/>
  <c r="L927" i="19"/>
  <c r="W104" i="13"/>
  <c r="AR104" i="13" s="1"/>
  <c r="L870" i="19"/>
  <c r="L869" i="19"/>
  <c r="W103" i="13"/>
  <c r="AR103" i="13" s="1"/>
  <c r="AS103" i="13" s="1"/>
  <c r="G60" i="5" s="1"/>
  <c r="L940" i="19"/>
  <c r="L909" i="19"/>
  <c r="L866" i="19"/>
  <c r="G1019" i="19"/>
  <c r="E1001" i="19"/>
  <c r="W68" i="13" s="1"/>
  <c r="L1041" i="19"/>
  <c r="L1014" i="19"/>
  <c r="L994" i="19"/>
  <c r="L962" i="19"/>
  <c r="M1133" i="19"/>
  <c r="M1134" i="19"/>
  <c r="M1135" i="19"/>
  <c r="M1136" i="19"/>
  <c r="M1137" i="19"/>
  <c r="M1132" i="19"/>
  <c r="L1133" i="19"/>
  <c r="L1134" i="19"/>
  <c r="L1135" i="19"/>
  <c r="L1136" i="19"/>
  <c r="L1137" i="19"/>
  <c r="L1132" i="19"/>
  <c r="G1113" i="19"/>
  <c r="G1071" i="19"/>
  <c r="G1093" i="19"/>
  <c r="L1156" i="19"/>
  <c r="M1130" i="19"/>
  <c r="L1108" i="19"/>
  <c r="L1086" i="19"/>
  <c r="L1063" i="19"/>
  <c r="L1130" i="19"/>
  <c r="L1286" i="19"/>
  <c r="O4" i="21"/>
  <c r="V200" i="19" s="1"/>
  <c r="AA200" i="19" s="1"/>
  <c r="O5" i="21"/>
  <c r="AB414" i="19" s="1"/>
  <c r="O6" i="21"/>
  <c r="X200" i="19" s="1"/>
  <c r="AC200" i="19" s="1"/>
  <c r="O7" i="21"/>
  <c r="O8" i="21"/>
  <c r="O10" i="21"/>
  <c r="O11" i="21"/>
  <c r="W611" i="19" s="1"/>
  <c r="AB611" i="19" s="1"/>
  <c r="O12" i="21"/>
  <c r="O13" i="21"/>
  <c r="O14" i="21"/>
  <c r="O16" i="21"/>
  <c r="O17" i="21"/>
  <c r="O18" i="21"/>
  <c r="O19" i="21"/>
  <c r="O21" i="21"/>
  <c r="O22" i="21"/>
  <c r="O23" i="21"/>
  <c r="O24" i="21"/>
  <c r="Q26" i="22"/>
  <c r="Q25" i="22"/>
  <c r="Q27" i="22" s="1"/>
  <c r="Q28" i="22" s="1"/>
  <c r="R16" i="22"/>
  <c r="R15" i="22"/>
  <c r="R12" i="22"/>
  <c r="R9" i="22"/>
  <c r="R8" i="22"/>
  <c r="R7" i="22"/>
  <c r="R5" i="22"/>
  <c r="R4" i="22"/>
  <c r="G4" i="22"/>
  <c r="Q3" i="22"/>
  <c r="P3" i="22"/>
  <c r="O3" i="22"/>
  <c r="N3" i="22"/>
  <c r="M3" i="22"/>
  <c r="G3" i="22"/>
  <c r="G2" i="22"/>
  <c r="L1266" i="19"/>
  <c r="G1251" i="19"/>
  <c r="G1250" i="19"/>
  <c r="D1248" i="19"/>
  <c r="R6" i="22"/>
  <c r="R17" i="22"/>
  <c r="R14" i="22"/>
  <c r="R18" i="22"/>
  <c r="R20" i="22"/>
  <c r="R11" i="22"/>
  <c r="G1247" i="19"/>
  <c r="L1227" i="19"/>
  <c r="L1226" i="19"/>
  <c r="L1242" i="19"/>
  <c r="L1215" i="19"/>
  <c r="L148" i="19"/>
  <c r="X13" i="13" s="1"/>
  <c r="D5" i="19"/>
  <c r="G204" i="19"/>
  <c r="AE48" i="11"/>
  <c r="AD48" i="11"/>
  <c r="AB48" i="11"/>
  <c r="F62" i="5"/>
  <c r="C62" i="5"/>
  <c r="C60" i="5"/>
  <c r="C63" i="5"/>
  <c r="G202" i="19"/>
  <c r="R4" i="5"/>
  <c r="L4" i="5"/>
  <c r="B40" i="3"/>
  <c r="AL117" i="13"/>
  <c r="AC20" i="11"/>
  <c r="AC21" i="11"/>
  <c r="AC22" i="11"/>
  <c r="AC23" i="11"/>
  <c r="AC24" i="11"/>
  <c r="AC25" i="11"/>
  <c r="AC26" i="11"/>
  <c r="AC27" i="11"/>
  <c r="AC28" i="11"/>
  <c r="AC29" i="11"/>
  <c r="AF19" i="11"/>
  <c r="AE32" i="11" s="1"/>
  <c r="AE19" i="11"/>
  <c r="AD32" i="11" s="1"/>
  <c r="AB47" i="11"/>
  <c r="AB46" i="11"/>
  <c r="AB45" i="11"/>
  <c r="AB44" i="11"/>
  <c r="AB43" i="11"/>
  <c r="AB40" i="11"/>
  <c r="AB37" i="11"/>
  <c r="AB36" i="11"/>
  <c r="AB35" i="11"/>
  <c r="AB34" i="11"/>
  <c r="AB33" i="11"/>
  <c r="AB32" i="11"/>
  <c r="D6" i="11"/>
  <c r="AD19" i="11" s="1"/>
  <c r="AC32" i="11" s="1"/>
  <c r="C3" i="12"/>
  <c r="H101" i="13"/>
  <c r="I101" i="13"/>
  <c r="O98" i="13"/>
  <c r="L56" i="13"/>
  <c r="X16" i="5"/>
  <c r="X17" i="5"/>
  <c r="X29" i="5"/>
  <c r="X30" i="5"/>
  <c r="X42" i="5"/>
  <c r="X43" i="5"/>
  <c r="X50" i="5"/>
  <c r="X51" i="5"/>
  <c r="X57" i="5"/>
  <c r="X58" i="5"/>
  <c r="X65" i="5"/>
  <c r="X66" i="5"/>
  <c r="X72" i="5"/>
  <c r="X73" i="5"/>
  <c r="X80" i="5"/>
  <c r="X81" i="5"/>
  <c r="X88" i="5"/>
  <c r="X89" i="5"/>
  <c r="X9" i="5"/>
  <c r="Y18" i="5"/>
  <c r="Z18" i="5"/>
  <c r="AA18" i="5"/>
  <c r="Y19" i="5"/>
  <c r="Z19" i="5"/>
  <c r="AA19" i="5"/>
  <c r="Y20" i="5"/>
  <c r="Z20" i="5"/>
  <c r="AA20" i="5"/>
  <c r="Y21" i="5"/>
  <c r="Z21" i="5"/>
  <c r="AA21" i="5"/>
  <c r="Y22" i="5"/>
  <c r="Z22" i="5"/>
  <c r="AA22" i="5"/>
  <c r="Y23" i="5"/>
  <c r="Z23" i="5"/>
  <c r="AA23" i="5"/>
  <c r="Y24" i="5"/>
  <c r="Z24" i="5"/>
  <c r="AA24" i="5"/>
  <c r="Y25" i="5"/>
  <c r="Z25" i="5"/>
  <c r="AA25" i="5"/>
  <c r="Y26" i="5"/>
  <c r="Z26" i="5"/>
  <c r="AA26" i="5"/>
  <c r="Y27" i="5"/>
  <c r="Z27" i="5"/>
  <c r="AA27" i="5"/>
  <c r="Y31" i="5"/>
  <c r="Z31" i="5"/>
  <c r="AA31" i="5"/>
  <c r="Y32" i="5"/>
  <c r="Z32" i="5"/>
  <c r="AA32" i="5"/>
  <c r="Y33" i="5"/>
  <c r="Z33" i="5"/>
  <c r="AA33" i="5"/>
  <c r="Y34" i="5"/>
  <c r="Z34" i="5"/>
  <c r="AA34" i="5"/>
  <c r="Y35" i="5"/>
  <c r="Z35" i="5"/>
  <c r="AA35" i="5"/>
  <c r="Y36" i="5"/>
  <c r="Z36" i="5"/>
  <c r="AA36" i="5"/>
  <c r="Y37" i="5"/>
  <c r="Z37" i="5"/>
  <c r="AA37" i="5"/>
  <c r="Y38" i="5"/>
  <c r="Z38" i="5"/>
  <c r="AA38" i="5"/>
  <c r="Y39" i="5"/>
  <c r="Z39" i="5"/>
  <c r="AA39" i="5"/>
  <c r="Y40" i="5"/>
  <c r="Z40" i="5"/>
  <c r="AA40" i="5"/>
  <c r="Y44" i="5"/>
  <c r="Z44" i="5"/>
  <c r="AA44" i="5"/>
  <c r="Y45" i="5"/>
  <c r="Z45" i="5"/>
  <c r="AA45" i="5"/>
  <c r="Y46" i="5"/>
  <c r="Z46" i="5"/>
  <c r="AA46" i="5"/>
  <c r="Y47" i="5"/>
  <c r="Z47" i="5"/>
  <c r="AA47" i="5"/>
  <c r="Y48" i="5"/>
  <c r="Z48" i="5"/>
  <c r="AA48" i="5"/>
  <c r="Y52" i="5"/>
  <c r="Z52" i="5"/>
  <c r="AA52" i="5"/>
  <c r="Y53" i="5"/>
  <c r="Z53" i="5"/>
  <c r="AA53" i="5"/>
  <c r="Y54" i="5"/>
  <c r="Z54" i="5"/>
  <c r="AA54" i="5"/>
  <c r="Y55" i="5"/>
  <c r="Z55" i="5"/>
  <c r="AA55" i="5"/>
  <c r="Y59" i="5"/>
  <c r="Z59" i="5"/>
  <c r="AA59" i="5"/>
  <c r="Y60" i="5"/>
  <c r="Z60" i="5"/>
  <c r="AA60" i="5"/>
  <c r="Y61" i="5"/>
  <c r="Z61" i="5"/>
  <c r="AA61" i="5"/>
  <c r="Y62" i="5"/>
  <c r="Z62" i="5"/>
  <c r="AA62" i="5"/>
  <c r="Y63" i="5"/>
  <c r="Z63" i="5"/>
  <c r="AA63" i="5"/>
  <c r="Y67" i="5"/>
  <c r="Z67" i="5"/>
  <c r="AA67" i="5"/>
  <c r="Y68" i="5"/>
  <c r="Z68" i="5"/>
  <c r="AA68" i="5"/>
  <c r="Y69" i="5"/>
  <c r="Z69" i="5"/>
  <c r="AA69" i="5"/>
  <c r="Y70" i="5"/>
  <c r="Z70" i="5"/>
  <c r="AA70" i="5"/>
  <c r="Y74" i="5"/>
  <c r="Z74" i="5"/>
  <c r="AA74" i="5"/>
  <c r="Y75" i="5"/>
  <c r="Z75" i="5"/>
  <c r="AA75" i="5"/>
  <c r="Y76" i="5"/>
  <c r="Z76" i="5"/>
  <c r="AA76" i="5"/>
  <c r="Y77" i="5"/>
  <c r="Z77" i="5"/>
  <c r="AA77" i="5"/>
  <c r="Y78" i="5"/>
  <c r="Z78" i="5"/>
  <c r="AA78" i="5"/>
  <c r="Y82" i="5"/>
  <c r="Z82" i="5"/>
  <c r="AA82" i="5"/>
  <c r="Y83" i="5"/>
  <c r="Z83" i="5"/>
  <c r="AA83" i="5"/>
  <c r="Y84" i="5"/>
  <c r="Z84" i="5"/>
  <c r="AA84" i="5"/>
  <c r="Y85" i="5"/>
  <c r="Z85" i="5"/>
  <c r="AA85" i="5"/>
  <c r="Y86" i="5"/>
  <c r="Z86" i="5"/>
  <c r="AA86" i="5"/>
  <c r="Y90" i="5"/>
  <c r="Z90" i="5"/>
  <c r="AA90" i="5"/>
  <c r="Y91" i="5"/>
  <c r="Z91" i="5"/>
  <c r="AA91" i="5"/>
  <c r="Y92" i="5"/>
  <c r="Z92" i="5"/>
  <c r="AA92" i="5"/>
  <c r="Y93" i="5"/>
  <c r="Z93" i="5"/>
  <c r="AA93" i="5"/>
  <c r="Y94" i="5"/>
  <c r="Z94" i="5"/>
  <c r="AA94" i="5"/>
  <c r="Y95" i="5"/>
  <c r="Z95" i="5"/>
  <c r="AA95" i="5"/>
  <c r="Y96" i="5"/>
  <c r="Z96" i="5"/>
  <c r="AA96" i="5"/>
  <c r="Y97" i="5"/>
  <c r="Z97" i="5"/>
  <c r="AA97" i="5"/>
  <c r="Y11" i="5"/>
  <c r="Z11" i="5"/>
  <c r="AA11" i="5"/>
  <c r="Y12" i="5"/>
  <c r="Z12" i="5"/>
  <c r="AA12" i="5"/>
  <c r="Y13" i="5"/>
  <c r="Z13" i="5"/>
  <c r="AA13" i="5"/>
  <c r="Y14" i="5"/>
  <c r="Z14" i="5"/>
  <c r="AA14" i="5"/>
  <c r="AA10" i="5"/>
  <c r="Z10" i="5"/>
  <c r="Y10" i="5"/>
  <c r="I99" i="13"/>
  <c r="F99" i="13"/>
  <c r="G99" i="13"/>
  <c r="H99" i="13"/>
  <c r="E99" i="13"/>
  <c r="D98" i="13"/>
  <c r="F41" i="13"/>
  <c r="G41" i="13"/>
  <c r="H41" i="13"/>
  <c r="I41" i="13"/>
  <c r="E41" i="13"/>
  <c r="E28" i="13"/>
  <c r="O24" i="13"/>
  <c r="O25" i="13"/>
  <c r="O26" i="13"/>
  <c r="O27" i="13"/>
  <c r="O31" i="13"/>
  <c r="O32" i="13"/>
  <c r="O33" i="13"/>
  <c r="O34" i="13"/>
  <c r="O35" i="13"/>
  <c r="O36" i="13"/>
  <c r="O37" i="13"/>
  <c r="O38" i="13"/>
  <c r="O39" i="13"/>
  <c r="O40" i="13"/>
  <c r="O44" i="13"/>
  <c r="O45" i="13"/>
  <c r="O46" i="13"/>
  <c r="O47" i="13"/>
  <c r="O48" i="13"/>
  <c r="O53" i="13"/>
  <c r="O54" i="13"/>
  <c r="O55" i="13"/>
  <c r="O56" i="13"/>
  <c r="O60" i="13"/>
  <c r="O61" i="13"/>
  <c r="O62" i="13"/>
  <c r="O63" i="13"/>
  <c r="O67" i="13"/>
  <c r="O68" i="13"/>
  <c r="O69" i="13"/>
  <c r="O70" i="13"/>
  <c r="O74" i="13"/>
  <c r="O75" i="13"/>
  <c r="O76" i="13"/>
  <c r="O77" i="13"/>
  <c r="O78" i="13"/>
  <c r="O82" i="13"/>
  <c r="O83" i="13"/>
  <c r="O84" i="13"/>
  <c r="O85" i="13"/>
  <c r="O86" i="13"/>
  <c r="O90" i="13"/>
  <c r="O91" i="13"/>
  <c r="O92" i="13"/>
  <c r="O93" i="13"/>
  <c r="O94" i="13"/>
  <c r="O95" i="13"/>
  <c r="O96" i="13"/>
  <c r="O97" i="13"/>
  <c r="O10" i="13"/>
  <c r="O11" i="13"/>
  <c r="O12" i="13"/>
  <c r="O13" i="13"/>
  <c r="O14" i="13"/>
  <c r="O15" i="13"/>
  <c r="O19" i="13"/>
  <c r="O20" i="13"/>
  <c r="O21" i="13"/>
  <c r="O22" i="13"/>
  <c r="O23" i="13"/>
  <c r="O9" i="13"/>
  <c r="AB42" i="11"/>
  <c r="AB39" i="11"/>
  <c r="F19" i="5"/>
  <c r="F60" i="5"/>
  <c r="C19" i="5"/>
  <c r="K18" i="13"/>
  <c r="AM7" i="13"/>
  <c r="K101" i="13"/>
  <c r="K30" i="13"/>
  <c r="K66" i="13"/>
  <c r="K43" i="13"/>
  <c r="K73" i="13"/>
  <c r="K52" i="13"/>
  <c r="K81" i="13"/>
  <c r="K59" i="13"/>
  <c r="K89" i="13"/>
  <c r="K8" i="13"/>
  <c r="L83" i="13"/>
  <c r="I87" i="13"/>
  <c r="H87" i="13"/>
  <c r="G87" i="13"/>
  <c r="F87" i="13"/>
  <c r="E87" i="13"/>
  <c r="I79" i="13"/>
  <c r="H79" i="13"/>
  <c r="G79" i="13"/>
  <c r="F79" i="13"/>
  <c r="E79" i="13"/>
  <c r="I71" i="13"/>
  <c r="H71" i="13"/>
  <c r="G71" i="13"/>
  <c r="F71" i="13"/>
  <c r="E71" i="13"/>
  <c r="I64" i="13"/>
  <c r="H64" i="13"/>
  <c r="G64" i="13"/>
  <c r="F64" i="13"/>
  <c r="E64" i="13"/>
  <c r="I57" i="13"/>
  <c r="H57" i="13"/>
  <c r="G57" i="13"/>
  <c r="F57" i="13"/>
  <c r="E57" i="13"/>
  <c r="D91" i="13"/>
  <c r="D92" i="13"/>
  <c r="C92" i="5" s="1"/>
  <c r="D93" i="13"/>
  <c r="C93" i="5" s="1"/>
  <c r="D94" i="13"/>
  <c r="C94" i="5" s="1"/>
  <c r="D95" i="13"/>
  <c r="D96" i="13"/>
  <c r="C96" i="5" s="1"/>
  <c r="D97" i="13"/>
  <c r="C97" i="5" s="1"/>
  <c r="D90" i="13"/>
  <c r="C90" i="5" s="1"/>
  <c r="F28" i="13"/>
  <c r="G28" i="13"/>
  <c r="H28" i="13"/>
  <c r="I28" i="13"/>
  <c r="F16" i="13"/>
  <c r="G16" i="13"/>
  <c r="H16" i="13"/>
  <c r="I16" i="13"/>
  <c r="E16" i="13"/>
  <c r="L21" i="13"/>
  <c r="M82" i="13"/>
  <c r="G279" i="19"/>
  <c r="E281" i="19" s="1"/>
  <c r="W23" i="13" s="1"/>
  <c r="G206" i="19"/>
  <c r="E215" i="19" s="1"/>
  <c r="W91" i="13" s="1"/>
  <c r="G1315" i="19" s="1"/>
  <c r="E1315" i="19" s="1"/>
  <c r="E1003" i="19"/>
  <c r="W97" i="13" s="1"/>
  <c r="G1321" i="19" s="1"/>
  <c r="E1321" i="19" s="1"/>
  <c r="G341" i="19"/>
  <c r="E344" i="19" s="1"/>
  <c r="X26" i="13" s="1"/>
  <c r="G301" i="19"/>
  <c r="G1188" i="19"/>
  <c r="E983" i="19"/>
  <c r="W96" i="13" s="1"/>
  <c r="G1320" i="19" s="1"/>
  <c r="E1320" i="19" s="1"/>
  <c r="E1048" i="19"/>
  <c r="W70" i="13" s="1"/>
  <c r="G321" i="19"/>
  <c r="E323" i="19" s="1"/>
  <c r="W25" i="13" s="1"/>
  <c r="G1196" i="19"/>
  <c r="G526" i="19"/>
  <c r="G299" i="19"/>
  <c r="C95" i="5"/>
  <c r="C91" i="5"/>
  <c r="C44" i="5"/>
  <c r="C45" i="5"/>
  <c r="C40" i="5"/>
  <c r="C27" i="5"/>
  <c r="V309" i="11"/>
  <c r="V306" i="11"/>
  <c r="V305" i="11"/>
  <c r="V304" i="11"/>
  <c r="V303" i="11"/>
  <c r="V302" i="11"/>
  <c r="V307" i="11"/>
  <c r="T309" i="11"/>
  <c r="T308" i="11"/>
  <c r="T307" i="11"/>
  <c r="T306" i="11"/>
  <c r="T305" i="11"/>
  <c r="T304" i="11"/>
  <c r="T303" i="11"/>
  <c r="T302" i="11"/>
  <c r="T301" i="11"/>
  <c r="T300" i="11"/>
  <c r="V300" i="11"/>
  <c r="V308" i="11"/>
  <c r="V301" i="11"/>
  <c r="C10" i="5"/>
  <c r="C11" i="5"/>
  <c r="C12" i="5"/>
  <c r="C13" i="5"/>
  <c r="C14" i="5"/>
  <c r="C18" i="5"/>
  <c r="C20" i="5"/>
  <c r="C21" i="5"/>
  <c r="C22" i="5"/>
  <c r="C23" i="5"/>
  <c r="C24" i="5"/>
  <c r="C25" i="5"/>
  <c r="C26" i="5"/>
  <c r="C31" i="5"/>
  <c r="C32" i="5"/>
  <c r="C33" i="5"/>
  <c r="C34" i="5"/>
  <c r="C35" i="5"/>
  <c r="C36" i="5"/>
  <c r="C37" i="5"/>
  <c r="C38" i="5"/>
  <c r="C39" i="5"/>
  <c r="C46" i="5"/>
  <c r="C47" i="5"/>
  <c r="C48" i="5"/>
  <c r="C52" i="5"/>
  <c r="C53" i="5"/>
  <c r="C54" i="5"/>
  <c r="C55" i="5"/>
  <c r="C59" i="5"/>
  <c r="C61" i="5"/>
  <c r="C67" i="5"/>
  <c r="C68" i="5"/>
  <c r="C69" i="5"/>
  <c r="C70" i="5"/>
  <c r="C74" i="5"/>
  <c r="C75" i="5"/>
  <c r="C76" i="5"/>
  <c r="C77" i="5"/>
  <c r="C78" i="5"/>
  <c r="C82" i="5"/>
  <c r="C83" i="5"/>
  <c r="C84" i="5"/>
  <c r="C85" i="5"/>
  <c r="C86" i="5"/>
  <c r="AX104" i="13"/>
  <c r="AY104" i="13" s="1"/>
  <c r="AU104" i="13"/>
  <c r="BG32" i="13" s="1"/>
  <c r="AX102" i="13"/>
  <c r="BH22" i="13"/>
  <c r="AU102" i="13"/>
  <c r="AU103" i="13"/>
  <c r="BG31" i="13" s="1"/>
  <c r="AX103" i="13"/>
  <c r="BH31" i="13" s="1"/>
  <c r="BH32" i="13"/>
  <c r="AD45" i="11"/>
  <c r="AY103" i="13"/>
  <c r="AE45" i="11"/>
  <c r="AY102" i="13"/>
  <c r="Y71" i="13"/>
  <c r="AF26" i="11"/>
  <c r="AD39" i="11"/>
  <c r="Y87" i="13"/>
  <c r="X71" i="13"/>
  <c r="Y99" i="13"/>
  <c r="Y79" i="13"/>
  <c r="Y16" i="13"/>
  <c r="X79" i="13"/>
  <c r="Y41" i="13"/>
  <c r="X57" i="13"/>
  <c r="X87" i="13"/>
  <c r="Y57" i="13"/>
  <c r="Y64" i="13"/>
  <c r="X64" i="13"/>
  <c r="X99" i="13"/>
  <c r="AD37" i="11"/>
  <c r="AE37" i="11"/>
  <c r="AE42" i="11"/>
  <c r="AD42" i="11"/>
  <c r="AD33" i="11"/>
  <c r="AE33" i="11"/>
  <c r="AE39" i="11"/>
  <c r="AD40" i="11"/>
  <c r="AD41" i="11"/>
  <c r="AE34" i="11"/>
  <c r="AD36" i="11"/>
  <c r="AD43" i="11"/>
  <c r="AD44" i="11"/>
  <c r="AE41" i="11"/>
  <c r="AD34" i="11"/>
  <c r="AE35" i="11"/>
  <c r="AD38" i="11"/>
  <c r="AD46" i="11"/>
  <c r="AD47" i="11"/>
  <c r="AE40" i="11"/>
  <c r="AE36" i="11"/>
  <c r="AD35" i="11"/>
  <c r="AE43" i="11"/>
  <c r="AE38" i="11"/>
  <c r="AE46" i="11"/>
  <c r="AE44" i="11"/>
  <c r="AE47" i="11"/>
  <c r="AE25" i="11"/>
  <c r="AE28" i="11"/>
  <c r="AF23" i="11"/>
  <c r="AE23" i="11"/>
  <c r="AF29" i="11"/>
  <c r="AE21" i="11"/>
  <c r="AE24" i="11"/>
  <c r="AE26" i="11"/>
  <c r="AF25" i="11"/>
  <c r="AF22" i="11"/>
  <c r="AF27" i="11"/>
  <c r="AE22" i="11"/>
  <c r="AE29" i="11"/>
  <c r="AF24" i="11"/>
  <c r="AF21" i="11"/>
  <c r="AE27" i="11"/>
  <c r="AF28" i="11"/>
  <c r="AU109" i="13"/>
  <c r="AX109" i="13"/>
  <c r="AX110" i="13"/>
  <c r="AY110" i="13" s="1"/>
  <c r="AZ110" i="13" s="1"/>
  <c r="AF20" i="11"/>
  <c r="AU110" i="13"/>
  <c r="AV110" i="13" s="1"/>
  <c r="AW110" i="13" s="1"/>
  <c r="AE20" i="11"/>
  <c r="V5" i="5"/>
  <c r="P5" i="5"/>
  <c r="G200" i="19" l="1"/>
  <c r="Y20" i="13" s="1"/>
  <c r="Y28" i="13" s="1"/>
  <c r="AG200" i="19"/>
  <c r="L580" i="19"/>
  <c r="AC414" i="19"/>
  <c r="X611" i="19"/>
  <c r="AC611" i="19" s="1"/>
  <c r="AA414" i="19"/>
  <c r="V611" i="19"/>
  <c r="AA611" i="19" s="1"/>
  <c r="I44" i="21"/>
  <c r="B61" i="21" s="1"/>
  <c r="C62" i="21" s="1"/>
  <c r="H62" i="21" s="1"/>
  <c r="X256" i="19"/>
  <c r="AC256" i="19" s="1"/>
  <c r="X199" i="19"/>
  <c r="AC199" i="19" s="1"/>
  <c r="X829" i="19"/>
  <c r="AC829" i="19" s="1"/>
  <c r="X232" i="19"/>
  <c r="AC232" i="19" s="1"/>
  <c r="X771" i="19"/>
  <c r="AC771" i="19" s="1"/>
  <c r="X178" i="19"/>
  <c r="AC178" i="19" s="1"/>
  <c r="X231" i="19"/>
  <c r="AC231" i="19" s="1"/>
  <c r="X177" i="19"/>
  <c r="AC177" i="19" s="1"/>
  <c r="X805" i="19"/>
  <c r="AC805" i="19" s="1"/>
  <c r="X591" i="19"/>
  <c r="AB232" i="19"/>
  <c r="AB231" i="19"/>
  <c r="AB805" i="19"/>
  <c r="AB178" i="19"/>
  <c r="AB256" i="19"/>
  <c r="AB177" i="19"/>
  <c r="AB829" i="19"/>
  <c r="V231" i="19"/>
  <c r="AA231" i="19" s="1"/>
  <c r="V771" i="19"/>
  <c r="AA771" i="19" s="1"/>
  <c r="V591" i="19"/>
  <c r="V256" i="19"/>
  <c r="AA256" i="19" s="1"/>
  <c r="V199" i="19"/>
  <c r="AA199" i="19" s="1"/>
  <c r="V805" i="19"/>
  <c r="AA805" i="19" s="1"/>
  <c r="V232" i="19"/>
  <c r="AA232" i="19" s="1"/>
  <c r="V178" i="19"/>
  <c r="AA178" i="19" s="1"/>
  <c r="V829" i="19"/>
  <c r="AA829" i="19" s="1"/>
  <c r="V177" i="19"/>
  <c r="AA177" i="19" s="1"/>
  <c r="W199" i="19"/>
  <c r="AB199" i="19" s="1"/>
  <c r="W771" i="19"/>
  <c r="AB771" i="19" s="1"/>
  <c r="H9" i="11"/>
  <c r="X502" i="19"/>
  <c r="AC502" i="19" s="1"/>
  <c r="X503" i="19"/>
  <c r="AC503" i="19" s="1"/>
  <c r="X482" i="19"/>
  <c r="X480" i="19"/>
  <c r="X459" i="19"/>
  <c r="AC459" i="19" s="1"/>
  <c r="X481" i="19"/>
  <c r="X570" i="19"/>
  <c r="AC570" i="19" s="1"/>
  <c r="X413" i="19"/>
  <c r="AC413" i="19" s="1"/>
  <c r="X1292" i="19"/>
  <c r="AC1292" i="19" s="1"/>
  <c r="X412" i="19"/>
  <c r="AC412" i="19" s="1"/>
  <c r="X387" i="19"/>
  <c r="AC387" i="19" s="1"/>
  <c r="X438" i="19"/>
  <c r="AC438" i="19" s="1"/>
  <c r="AB570" i="19"/>
  <c r="AB413" i="19"/>
  <c r="AB1292" i="19"/>
  <c r="AB412" i="19"/>
  <c r="AB438" i="19"/>
  <c r="V570" i="19"/>
  <c r="AA570" i="19" s="1"/>
  <c r="V480" i="19"/>
  <c r="V502" i="19"/>
  <c r="AA502" i="19" s="1"/>
  <c r="V459" i="19"/>
  <c r="AA459" i="19" s="1"/>
  <c r="V503" i="19"/>
  <c r="AA503" i="19" s="1"/>
  <c r="V481" i="19"/>
  <c r="V482" i="19"/>
  <c r="V438" i="19"/>
  <c r="AA438" i="19" s="1"/>
  <c r="V387" i="19"/>
  <c r="AA387" i="19" s="1"/>
  <c r="V413" i="19"/>
  <c r="AA413" i="19" s="1"/>
  <c r="V1292" i="19"/>
  <c r="AA1292" i="19" s="1"/>
  <c r="V412" i="19"/>
  <c r="AA412" i="19" s="1"/>
  <c r="W502" i="19"/>
  <c r="AB502" i="19" s="1"/>
  <c r="W503" i="19"/>
  <c r="AB503" i="19" s="1"/>
  <c r="W459" i="19"/>
  <c r="AB459" i="19" s="1"/>
  <c r="W387" i="19"/>
  <c r="AB387" i="19" s="1"/>
  <c r="L581" i="19"/>
  <c r="X1220" i="19"/>
  <c r="AC1220" i="19" s="1"/>
  <c r="X1271" i="19"/>
  <c r="AC1271" i="19" s="1"/>
  <c r="AB1220" i="19"/>
  <c r="AB1271" i="19"/>
  <c r="V1220" i="19"/>
  <c r="AA1220" i="19" s="1"/>
  <c r="V1271" i="19"/>
  <c r="AA1271" i="19" s="1"/>
  <c r="X945" i="19"/>
  <c r="AC945" i="19" s="1"/>
  <c r="X1191" i="19"/>
  <c r="X1194" i="19"/>
  <c r="AB945" i="19"/>
  <c r="V945" i="19"/>
  <c r="AA945" i="19" s="1"/>
  <c r="V1191" i="19"/>
  <c r="V1194" i="19"/>
  <c r="G79" i="19"/>
  <c r="L79" i="19" s="1"/>
  <c r="X11" i="13" s="1"/>
  <c r="L53" i="11"/>
  <c r="L86" i="19"/>
  <c r="G83" i="19" s="1"/>
  <c r="BF31" i="13"/>
  <c r="AC45" i="11" s="1"/>
  <c r="AS104" i="13"/>
  <c r="G62" i="5" s="1"/>
  <c r="BF32" i="13"/>
  <c r="AC46" i="11" s="1"/>
  <c r="AV103" i="13"/>
  <c r="H106" i="13"/>
  <c r="E106" i="13"/>
  <c r="L1219" i="19"/>
  <c r="L1217" i="19" s="1"/>
  <c r="L1216" i="19" s="1"/>
  <c r="AV507" i="26"/>
  <c r="P511" i="26"/>
  <c r="BC510" i="26"/>
  <c r="AV104" i="13"/>
  <c r="L1168" i="19"/>
  <c r="M543" i="19"/>
  <c r="L582" i="19"/>
  <c r="G77" i="16"/>
  <c r="M583" i="19"/>
  <c r="M568" i="19"/>
  <c r="I81" i="13"/>
  <c r="I66" i="13"/>
  <c r="L695" i="19"/>
  <c r="I59" i="13"/>
  <c r="F81" i="13"/>
  <c r="F43" i="13"/>
  <c r="F101" i="13"/>
  <c r="F73" i="13"/>
  <c r="F18" i="13"/>
  <c r="F30" i="13"/>
  <c r="F705" i="19"/>
  <c r="R19" i="22"/>
  <c r="R21" i="22" s="1"/>
  <c r="L1147" i="19"/>
  <c r="BD510" i="26"/>
  <c r="L510" i="26"/>
  <c r="L508" i="26"/>
  <c r="BG507" i="26"/>
  <c r="J508" i="26"/>
  <c r="L511" i="26"/>
  <c r="X510" i="26"/>
  <c r="AB510" i="26"/>
  <c r="AV510" i="26"/>
  <c r="P510" i="26"/>
  <c r="AR510" i="26"/>
  <c r="I508" i="26"/>
  <c r="AI507" i="26"/>
  <c r="S507" i="26"/>
  <c r="AD507" i="26"/>
  <c r="AO507" i="26"/>
  <c r="Y507" i="26"/>
  <c r="AR507" i="26"/>
  <c r="AB507" i="26"/>
  <c r="L507" i="26"/>
  <c r="BC507" i="26"/>
  <c r="AM507" i="26"/>
  <c r="W507" i="26"/>
  <c r="AX507" i="26"/>
  <c r="U507" i="26"/>
  <c r="AF510" i="26"/>
  <c r="Z507" i="26"/>
  <c r="AJ511" i="26"/>
  <c r="AG511" i="26"/>
  <c r="N507" i="26"/>
  <c r="BF508" i="26"/>
  <c r="BA507" i="26"/>
  <c r="AW508" i="26"/>
  <c r="AU508" i="26"/>
  <c r="AG508" i="26"/>
  <c r="P507" i="26"/>
  <c r="AN510" i="26"/>
  <c r="H510" i="26"/>
  <c r="AJ510" i="26"/>
  <c r="AL508" i="26"/>
  <c r="AA508" i="26"/>
  <c r="AJ508" i="26"/>
  <c r="X507" i="26"/>
  <c r="J507" i="26"/>
  <c r="BF507" i="26"/>
  <c r="R507" i="26"/>
  <c r="AL507" i="26"/>
  <c r="AG507" i="26"/>
  <c r="AZ507" i="26"/>
  <c r="O507" i="26"/>
  <c r="H511" i="26"/>
  <c r="T510" i="26"/>
  <c r="AZ511" i="26"/>
  <c r="K511" i="26"/>
  <c r="AE510" i="26"/>
  <c r="AM510" i="26"/>
  <c r="W510" i="26"/>
  <c r="AY510" i="26"/>
  <c r="AI510" i="26"/>
  <c r="S510" i="26"/>
  <c r="H507" i="26"/>
  <c r="AK508" i="26"/>
  <c r="K508" i="26"/>
  <c r="AB508" i="26"/>
  <c r="AS507" i="26"/>
  <c r="AQ507" i="26"/>
  <c r="BB507" i="26"/>
  <c r="Q507" i="26"/>
  <c r="AJ507" i="26"/>
  <c r="U511" i="26"/>
  <c r="AO511" i="26"/>
  <c r="BD508" i="26"/>
  <c r="AK507" i="26"/>
  <c r="AB511" i="26"/>
  <c r="T511" i="26"/>
  <c r="AE508" i="26"/>
  <c r="AO508" i="26"/>
  <c r="AT507" i="26"/>
  <c r="AC507" i="26"/>
  <c r="AN507" i="26"/>
  <c r="AY507" i="26"/>
  <c r="V507" i="26"/>
  <c r="I507" i="26"/>
  <c r="T507" i="26"/>
  <c r="AE507" i="26"/>
  <c r="AZ510" i="26"/>
  <c r="AM508" i="26"/>
  <c r="W508" i="26"/>
  <c r="AP508" i="26"/>
  <c r="R508" i="26"/>
  <c r="AS508" i="26"/>
  <c r="AC508" i="26"/>
  <c r="M508" i="26"/>
  <c r="AV508" i="26"/>
  <c r="X508" i="26"/>
  <c r="P508" i="26"/>
  <c r="AF511" i="26"/>
  <c r="AT508" i="26"/>
  <c r="AP507" i="26"/>
  <c r="BD507" i="26"/>
  <c r="AA507" i="26"/>
  <c r="AW507" i="26"/>
  <c r="BD511" i="26"/>
  <c r="AN511" i="26"/>
  <c r="O511" i="26"/>
  <c r="H508" i="26"/>
  <c r="BG508" i="26"/>
  <c r="AX508" i="26"/>
  <c r="AF508" i="26"/>
  <c r="Z508" i="26"/>
  <c r="AQ508" i="26"/>
  <c r="N508" i="26"/>
  <c r="AR511" i="26"/>
  <c r="AX511" i="26"/>
  <c r="E101" i="13"/>
  <c r="E89" i="13"/>
  <c r="G59" i="5"/>
  <c r="E899" i="19"/>
  <c r="Q508" i="26"/>
  <c r="AN508" i="26"/>
  <c r="AD508" i="26"/>
  <c r="AR508" i="26"/>
  <c r="AU511" i="26"/>
  <c r="AM511" i="26"/>
  <c r="AQ511" i="26"/>
  <c r="AI511" i="26"/>
  <c r="AE511" i="26"/>
  <c r="W511" i="26"/>
  <c r="AA511" i="26"/>
  <c r="S511" i="26"/>
  <c r="BG511" i="26"/>
  <c r="AY511" i="26"/>
  <c r="O510" i="26"/>
  <c r="AU510" i="26"/>
  <c r="BG510" i="26"/>
  <c r="AA510" i="26"/>
  <c r="AQ510" i="26"/>
  <c r="K510" i="26"/>
  <c r="Y508" i="26"/>
  <c r="O508" i="26"/>
  <c r="S508" i="26"/>
  <c r="BC508" i="26"/>
  <c r="G106" i="13"/>
  <c r="M580" i="19"/>
  <c r="Z511" i="26"/>
  <c r="R511" i="26"/>
  <c r="G97" i="16"/>
  <c r="F66" i="13"/>
  <c r="L378" i="19"/>
  <c r="AY508" i="26"/>
  <c r="BE508" i="26"/>
  <c r="AH508" i="26"/>
  <c r="G611" i="19"/>
  <c r="E618" i="19" s="1"/>
  <c r="W40" i="13" s="1"/>
  <c r="F530" i="19"/>
  <c r="L543" i="19" s="1"/>
  <c r="G530" i="19" s="1"/>
  <c r="L1138" i="19"/>
  <c r="M1138" i="19"/>
  <c r="M1149" i="19" s="1"/>
  <c r="X511" i="26"/>
  <c r="F89" i="13"/>
  <c r="F59" i="13"/>
  <c r="BC511" i="26"/>
  <c r="F52" i="13"/>
  <c r="AV511" i="26"/>
  <c r="BF511" i="26"/>
  <c r="AL510" i="26"/>
  <c r="R510" i="26"/>
  <c r="N510" i="26"/>
  <c r="G69" i="16"/>
  <c r="G85" i="16"/>
  <c r="D80" i="19"/>
  <c r="L1169" i="19"/>
  <c r="L1170" i="19" s="1"/>
  <c r="Y511" i="26"/>
  <c r="AK511" i="26"/>
  <c r="Q511" i="26"/>
  <c r="AS511" i="26"/>
  <c r="AC511" i="26"/>
  <c r="AG510" i="26"/>
  <c r="G14" i="16"/>
  <c r="P76" i="13"/>
  <c r="F9" i="11"/>
  <c r="BF22" i="13"/>
  <c r="AC36" i="11" s="1"/>
  <c r="AS102" i="13"/>
  <c r="G1314" i="19"/>
  <c r="BG22" i="13"/>
  <c r="AV102" i="13"/>
  <c r="AE509" i="26"/>
  <c r="O509" i="26"/>
  <c r="BF509" i="26"/>
  <c r="AX509" i="26"/>
  <c r="AH509" i="26"/>
  <c r="Z509" i="26"/>
  <c r="R509" i="26"/>
  <c r="J509" i="26"/>
  <c r="BA509" i="26"/>
  <c r="AS509" i="26"/>
  <c r="AC509" i="26"/>
  <c r="AI509" i="26"/>
  <c r="W26" i="13"/>
  <c r="M584" i="19"/>
  <c r="L584" i="19"/>
  <c r="L579" i="19"/>
  <c r="H566" i="19" s="1"/>
  <c r="F365" i="19"/>
  <c r="AV509" i="26"/>
  <c r="AN509" i="26"/>
  <c r="P509" i="26"/>
  <c r="AY509" i="26"/>
  <c r="AQ509" i="26"/>
  <c r="AA509" i="26"/>
  <c r="K509" i="26"/>
  <c r="BB509" i="26"/>
  <c r="AT509" i="26"/>
  <c r="V509" i="26"/>
  <c r="N509" i="26"/>
  <c r="BE509" i="26"/>
  <c r="AW509" i="26"/>
  <c r="AO509" i="26"/>
  <c r="AG509" i="26"/>
  <c r="Y509" i="26"/>
  <c r="I509" i="26"/>
  <c r="AZ509" i="26"/>
  <c r="AR509" i="26"/>
  <c r="AJ509" i="26"/>
  <c r="AB509" i="26"/>
  <c r="L509" i="26"/>
  <c r="AU509" i="26"/>
  <c r="T509" i="26"/>
  <c r="BC509" i="26"/>
  <c r="W509" i="26"/>
  <c r="AP509" i="26"/>
  <c r="M509" i="26"/>
  <c r="BD509" i="26"/>
  <c r="X509" i="26"/>
  <c r="X513" i="26" s="1"/>
  <c r="F446" i="19" s="1"/>
  <c r="H509" i="26"/>
  <c r="I106" i="13"/>
  <c r="F106" i="13"/>
  <c r="L585" i="19"/>
  <c r="M585" i="19"/>
  <c r="L583" i="19"/>
  <c r="L935" i="19"/>
  <c r="L578" i="19"/>
  <c r="M544" i="19"/>
  <c r="F178" i="19"/>
  <c r="F177" i="19"/>
  <c r="F176" i="19"/>
  <c r="F874" i="19"/>
  <c r="G874" i="19" s="1"/>
  <c r="F880" i="19"/>
  <c r="G880" i="19" s="1"/>
  <c r="F885" i="19"/>
  <c r="G885" i="19" s="1"/>
  <c r="L871" i="19" s="1"/>
  <c r="F891" i="19"/>
  <c r="G891" i="19" s="1"/>
  <c r="BB511" i="26"/>
  <c r="BG509" i="26"/>
  <c r="BG513" i="26" s="1"/>
  <c r="F1328" i="19" s="1"/>
  <c r="S509" i="26"/>
  <c r="AL509" i="26"/>
  <c r="Q509" i="26"/>
  <c r="AD509" i="26"/>
  <c r="BE511" i="26"/>
  <c r="AW511" i="26"/>
  <c r="P45" i="13"/>
  <c r="G48" i="16"/>
  <c r="L1023" i="19"/>
  <c r="AK509" i="26"/>
  <c r="U509" i="26"/>
  <c r="H73" i="13"/>
  <c r="H52" i="13"/>
  <c r="H18" i="13"/>
  <c r="H89" i="13"/>
  <c r="H66" i="13"/>
  <c r="H43" i="13"/>
  <c r="H81" i="13"/>
  <c r="H59" i="13"/>
  <c r="P35" i="13"/>
  <c r="G39" i="16"/>
  <c r="AP511" i="26"/>
  <c r="AH511" i="26"/>
  <c r="J511" i="26"/>
  <c r="AT511" i="26"/>
  <c r="AL511" i="26"/>
  <c r="AD511" i="26"/>
  <c r="V511" i="26"/>
  <c r="N511" i="26"/>
  <c r="BF510" i="26"/>
  <c r="AX510" i="26"/>
  <c r="AP510" i="26"/>
  <c r="Z510" i="26"/>
  <c r="J510" i="26"/>
  <c r="BB510" i="26"/>
  <c r="AT510" i="26"/>
  <c r="AD510" i="26"/>
  <c r="V510" i="26"/>
  <c r="E66" i="13"/>
  <c r="E43" i="13"/>
  <c r="E81" i="13"/>
  <c r="E59" i="13"/>
  <c r="E30" i="13"/>
  <c r="E73" i="13"/>
  <c r="E52" i="13"/>
  <c r="AM509" i="26"/>
  <c r="I511" i="26"/>
  <c r="BA511" i="26"/>
  <c r="M511" i="26"/>
  <c r="I510" i="26"/>
  <c r="AO510" i="26"/>
  <c r="BE510" i="26"/>
  <c r="AW510" i="26"/>
  <c r="Y510" i="26"/>
  <c r="Y513" i="26" s="1"/>
  <c r="F467" i="19" s="1"/>
  <c r="Q510" i="26"/>
  <c r="BA510" i="26"/>
  <c r="AS510" i="26"/>
  <c r="AK510" i="26"/>
  <c r="U510" i="26"/>
  <c r="M510" i="26"/>
  <c r="P62" i="13"/>
  <c r="G62" i="16"/>
  <c r="E18" i="13"/>
  <c r="BA508" i="26"/>
  <c r="U508" i="26"/>
  <c r="AH507" i="26"/>
  <c r="M507" i="26"/>
  <c r="AF507" i="26"/>
  <c r="G26" i="16"/>
  <c r="P19" i="13"/>
  <c r="P56" i="13"/>
  <c r="G55" i="16"/>
  <c r="AF509" i="26"/>
  <c r="AI508" i="26"/>
  <c r="BB508" i="26"/>
  <c r="V508" i="26"/>
  <c r="AZ508" i="26"/>
  <c r="T508" i="26"/>
  <c r="K507" i="26"/>
  <c r="BE507" i="26"/>
  <c r="AU507" i="26"/>
  <c r="E925" i="19"/>
  <c r="J85" i="11" s="1"/>
  <c r="L911" i="19"/>
  <c r="L912" i="19" s="1"/>
  <c r="L202" i="19"/>
  <c r="G8" i="13"/>
  <c r="K39" i="13" s="1"/>
  <c r="L20" i="13"/>
  <c r="L203" i="19" s="1"/>
  <c r="L609" i="19"/>
  <c r="D613" i="19" s="1"/>
  <c r="L696" i="19"/>
  <c r="P10" i="13"/>
  <c r="I43" i="13"/>
  <c r="L71" i="11"/>
  <c r="I89" i="13"/>
  <c r="I18" i="13"/>
  <c r="I52" i="13"/>
  <c r="L377" i="19"/>
  <c r="I73" i="13"/>
  <c r="L73" i="11"/>
  <c r="L72" i="11"/>
  <c r="G412" i="19" l="1"/>
  <c r="G413" i="19"/>
  <c r="X20" i="13"/>
  <c r="X28" i="13" s="1"/>
  <c r="AG438" i="19"/>
  <c r="I570" i="19"/>
  <c r="F206" i="19"/>
  <c r="F211" i="19" s="1"/>
  <c r="AG414" i="19"/>
  <c r="AG231" i="19"/>
  <c r="G210" i="19"/>
  <c r="G211" i="19"/>
  <c r="AG232" i="19"/>
  <c r="AG611" i="19"/>
  <c r="F412" i="19"/>
  <c r="D61" i="21"/>
  <c r="D66" i="21" s="1"/>
  <c r="E66" i="21" s="1"/>
  <c r="E62" i="21"/>
  <c r="D68" i="21" s="1"/>
  <c r="E61" i="21"/>
  <c r="D67" i="21" s="1"/>
  <c r="D62" i="21"/>
  <c r="C61" i="21"/>
  <c r="H61" i="21" s="1"/>
  <c r="E110" i="19"/>
  <c r="W11" i="13" s="1"/>
  <c r="E690" i="19"/>
  <c r="W92" i="13" s="1"/>
  <c r="G1316" i="19" s="1"/>
  <c r="E1316" i="19" s="1"/>
  <c r="AG412" i="19"/>
  <c r="AG805" i="19"/>
  <c r="AG387" i="19"/>
  <c r="G177" i="19"/>
  <c r="AG177" i="19"/>
  <c r="AG771" i="19"/>
  <c r="G829" i="19"/>
  <c r="AG829" i="19"/>
  <c r="AG199" i="19"/>
  <c r="G199" i="19"/>
  <c r="E213" i="19" s="1"/>
  <c r="W20" i="13" s="1"/>
  <c r="AG256" i="19"/>
  <c r="G178" i="19"/>
  <c r="AG178" i="19"/>
  <c r="AG945" i="19"/>
  <c r="E787" i="19"/>
  <c r="W53" i="13" s="1"/>
  <c r="M1153" i="19"/>
  <c r="M1150" i="19"/>
  <c r="G459" i="19"/>
  <c r="AG459" i="19"/>
  <c r="AG502" i="19"/>
  <c r="AG413" i="19"/>
  <c r="AG570" i="19"/>
  <c r="AG1220" i="19"/>
  <c r="AG1292" i="19"/>
  <c r="AG503" i="19"/>
  <c r="I412" i="19"/>
  <c r="AG1271" i="19"/>
  <c r="I530" i="19"/>
  <c r="M579" i="19"/>
  <c r="E930" i="19"/>
  <c r="G61" i="5"/>
  <c r="AI513" i="26"/>
  <c r="F716" i="19" s="1"/>
  <c r="AU513" i="26"/>
  <c r="F1033" i="19" s="1"/>
  <c r="H513" i="26"/>
  <c r="F27" i="19" s="1"/>
  <c r="BC513" i="26"/>
  <c r="F1234" i="19" s="1"/>
  <c r="AV513" i="26"/>
  <c r="F1053" i="19" s="1"/>
  <c r="F414" i="19"/>
  <c r="K87" i="13"/>
  <c r="C85" i="16" s="1"/>
  <c r="K78" i="13"/>
  <c r="C76" i="16" s="1"/>
  <c r="K99" i="13"/>
  <c r="C97" i="16" s="1"/>
  <c r="K40" i="13"/>
  <c r="C38" i="16" s="1"/>
  <c r="K25" i="13"/>
  <c r="K69" i="13"/>
  <c r="K41" i="13"/>
  <c r="C39" i="16" s="1"/>
  <c r="K84" i="13"/>
  <c r="Q84" i="13" s="1"/>
  <c r="R84" i="13" s="1"/>
  <c r="C37" i="16"/>
  <c r="Q39" i="13"/>
  <c r="R39" i="13" s="1"/>
  <c r="H586" i="19" s="1"/>
  <c r="K71" i="13"/>
  <c r="C69" i="16" s="1"/>
  <c r="K98" i="13"/>
  <c r="Q98" i="13" s="1"/>
  <c r="R98" i="13" s="1"/>
  <c r="K13" i="13"/>
  <c r="K28" i="13"/>
  <c r="C26" i="16" s="1"/>
  <c r="K57" i="13"/>
  <c r="C55" i="16" s="1"/>
  <c r="K102" i="13"/>
  <c r="R102" i="13" s="1"/>
  <c r="D19" i="5" s="1"/>
  <c r="X19" i="5" s="1"/>
  <c r="K86" i="13"/>
  <c r="K9" i="13"/>
  <c r="K62" i="13"/>
  <c r="K26" i="13"/>
  <c r="K49" i="13"/>
  <c r="K70" i="13"/>
  <c r="C68" i="16" s="1"/>
  <c r="K55" i="13"/>
  <c r="K63" i="13"/>
  <c r="K47" i="13"/>
  <c r="K10" i="13"/>
  <c r="K77" i="13"/>
  <c r="K48" i="13"/>
  <c r="K83" i="13"/>
  <c r="C81" i="16" s="1"/>
  <c r="K61" i="13"/>
  <c r="C59" i="16" s="1"/>
  <c r="K24" i="13"/>
  <c r="K15" i="13"/>
  <c r="K19" i="13"/>
  <c r="Q19" i="13" s="1"/>
  <c r="K79" i="13"/>
  <c r="C77" i="16" s="1"/>
  <c r="K103" i="13"/>
  <c r="R103" i="13" s="1"/>
  <c r="D60" i="5" s="1"/>
  <c r="X60" i="5" s="1"/>
  <c r="K16" i="13"/>
  <c r="C14" i="16" s="1"/>
  <c r="K94" i="13"/>
  <c r="Q94" i="13" s="1"/>
  <c r="R94" i="13" s="1"/>
  <c r="K35" i="13"/>
  <c r="C33" i="16" s="1"/>
  <c r="K91" i="13"/>
  <c r="K74" i="13"/>
  <c r="C72" i="16" s="1"/>
  <c r="K38" i="13"/>
  <c r="K56" i="13"/>
  <c r="Q56" i="13" s="1"/>
  <c r="R56" i="13" s="1"/>
  <c r="K60" i="13"/>
  <c r="Q60" i="13" s="1"/>
  <c r="R60" i="13" s="1"/>
  <c r="E867" i="19" s="1"/>
  <c r="K67" i="13"/>
  <c r="K12" i="13"/>
  <c r="Q12" i="13" s="1"/>
  <c r="R12" i="13" s="1"/>
  <c r="K75" i="13"/>
  <c r="K104" i="13"/>
  <c r="R104" i="13" s="1"/>
  <c r="D62" i="5" s="1"/>
  <c r="X62" i="5" s="1"/>
  <c r="K96" i="13"/>
  <c r="Q96" i="13" s="1"/>
  <c r="R96" i="13" s="1"/>
  <c r="K64" i="13"/>
  <c r="C62" i="16" s="1"/>
  <c r="K97" i="13"/>
  <c r="Q97" i="13" s="1"/>
  <c r="R97" i="13" s="1"/>
  <c r="E95" i="16" s="1"/>
  <c r="H95" i="16" s="1"/>
  <c r="K92" i="13"/>
  <c r="Q40" i="13"/>
  <c r="R40" i="13" s="1"/>
  <c r="E607" i="19" s="1"/>
  <c r="F611" i="19" s="1"/>
  <c r="K90" i="13"/>
  <c r="K33" i="13"/>
  <c r="Q33" i="13" s="1"/>
  <c r="R33" i="13" s="1"/>
  <c r="K37" i="13"/>
  <c r="C35" i="16" s="1"/>
  <c r="K23" i="13"/>
  <c r="Q23" i="13" s="1"/>
  <c r="R23" i="13" s="1"/>
  <c r="K27" i="13"/>
  <c r="Q27" i="13" s="1"/>
  <c r="K54" i="13"/>
  <c r="K50" i="13"/>
  <c r="C48" i="16" s="1"/>
  <c r="K53" i="13"/>
  <c r="Q53" i="13" s="1"/>
  <c r="R53" i="13" s="1"/>
  <c r="D52" i="5" s="1"/>
  <c r="X52" i="5" s="1"/>
  <c r="K34" i="13"/>
  <c r="K32" i="13"/>
  <c r="C30" i="16" s="1"/>
  <c r="K20" i="13"/>
  <c r="C18" i="16" s="1"/>
  <c r="K36" i="13"/>
  <c r="L36" i="13" s="1"/>
  <c r="Q36" i="13" s="1"/>
  <c r="R36" i="13" s="1"/>
  <c r="K68" i="13"/>
  <c r="K44" i="13"/>
  <c r="Q44" i="13" s="1"/>
  <c r="K22" i="13"/>
  <c r="Q22" i="13" s="1"/>
  <c r="R22" i="13" s="1"/>
  <c r="K14" i="13"/>
  <c r="C12" i="16" s="1"/>
  <c r="K82" i="13"/>
  <c r="K95" i="13"/>
  <c r="C93" i="16" s="1"/>
  <c r="K46" i="13"/>
  <c r="K21" i="13"/>
  <c r="K85" i="13"/>
  <c r="K93" i="13"/>
  <c r="K45" i="13"/>
  <c r="K31" i="13"/>
  <c r="K76" i="13"/>
  <c r="K11" i="13"/>
  <c r="C9" i="16" s="1"/>
  <c r="BA513" i="26"/>
  <c r="F1172" i="19" s="1"/>
  <c r="AM513" i="26"/>
  <c r="F815" i="19" s="1"/>
  <c r="AE513" i="26"/>
  <c r="F623" i="19" s="1"/>
  <c r="L513" i="26"/>
  <c r="F160" i="19" s="1"/>
  <c r="AJ513" i="26"/>
  <c r="F736" i="19" s="1"/>
  <c r="AC513" i="26"/>
  <c r="F578" i="19" s="1"/>
  <c r="O513" i="26"/>
  <c r="F243" i="19" s="1"/>
  <c r="W513" i="26"/>
  <c r="F425" i="19" s="1"/>
  <c r="AN513" i="26"/>
  <c r="F836" i="19" s="1"/>
  <c r="T513" i="26"/>
  <c r="F349" i="19" s="1"/>
  <c r="BB513" i="26"/>
  <c r="F1207" i="19" s="1"/>
  <c r="Z513" i="26"/>
  <c r="F489" i="19" s="1"/>
  <c r="AK513" i="26"/>
  <c r="F756" i="19" s="1"/>
  <c r="BF513" i="26"/>
  <c r="F1299" i="19" s="1"/>
  <c r="AG513" i="26"/>
  <c r="F668" i="19" s="1"/>
  <c r="R513" i="26"/>
  <c r="F308" i="19" s="1"/>
  <c r="AA513" i="26"/>
  <c r="F510" i="19" s="1"/>
  <c r="AZ513" i="26"/>
  <c r="F1148" i="19" s="1"/>
  <c r="BD513" i="26"/>
  <c r="F1258" i="19" s="1"/>
  <c r="AB513" i="26"/>
  <c r="F549" i="19" s="1"/>
  <c r="AQ513" i="26"/>
  <c r="F932" i="19" s="1"/>
  <c r="J513" i="26"/>
  <c r="F115" i="19" s="1"/>
  <c r="AY513" i="26"/>
  <c r="F1121" i="19" s="1"/>
  <c r="N513" i="26"/>
  <c r="F218" i="19" s="1"/>
  <c r="P513" i="26"/>
  <c r="F264" i="19" s="1"/>
  <c r="AR513" i="26"/>
  <c r="F952" i="19" s="1"/>
  <c r="AD513" i="26"/>
  <c r="F598" i="19" s="1"/>
  <c r="M1152" i="19"/>
  <c r="Q13" i="13"/>
  <c r="R13" i="13" s="1"/>
  <c r="D14" i="5" s="1"/>
  <c r="X14" i="5" s="1"/>
  <c r="C11" i="16"/>
  <c r="BE513" i="26"/>
  <c r="F1278" i="19" s="1"/>
  <c r="M513" i="26"/>
  <c r="F185" i="19" s="1"/>
  <c r="Q513" i="26"/>
  <c r="F286" i="19" s="1"/>
  <c r="M1151" i="19"/>
  <c r="Q26" i="13"/>
  <c r="R26" i="13" s="1"/>
  <c r="C24" i="16"/>
  <c r="Q49" i="13"/>
  <c r="R49" i="13" s="1"/>
  <c r="C47" i="16"/>
  <c r="Q70" i="13"/>
  <c r="R70" i="13" s="1"/>
  <c r="E68" i="16" s="1"/>
  <c r="H68" i="16" s="1"/>
  <c r="K513" i="26"/>
  <c r="F137" i="19" s="1"/>
  <c r="AL513" i="26"/>
  <c r="F792" i="19" s="1"/>
  <c r="Q83" i="13"/>
  <c r="R83" i="13" s="1"/>
  <c r="Q61" i="13"/>
  <c r="R61" i="13" s="1"/>
  <c r="S513" i="26"/>
  <c r="F328" i="19" s="1"/>
  <c r="C17" i="16"/>
  <c r="C92" i="16"/>
  <c r="L35" i="13"/>
  <c r="Q35" i="13" s="1"/>
  <c r="R35" i="13" s="1"/>
  <c r="AW513" i="26"/>
  <c r="F1078" i="19" s="1"/>
  <c r="C10" i="16"/>
  <c r="F417" i="19"/>
  <c r="I417" i="19" s="1"/>
  <c r="V513" i="26"/>
  <c r="F399" i="19" s="1"/>
  <c r="G98" i="16"/>
  <c r="H98" i="16" s="1"/>
  <c r="C31" i="16"/>
  <c r="L37" i="13"/>
  <c r="Q37" i="13" s="1"/>
  <c r="R37" i="13" s="1"/>
  <c r="R27" i="13"/>
  <c r="C51" i="16"/>
  <c r="D40" i="5"/>
  <c r="X40" i="5" s="1"/>
  <c r="E1314" i="19"/>
  <c r="F413" i="19"/>
  <c r="G52" i="13"/>
  <c r="G18" i="13"/>
  <c r="G89" i="13"/>
  <c r="G66" i="13"/>
  <c r="G43" i="13"/>
  <c r="G81" i="13"/>
  <c r="G59" i="13"/>
  <c r="G30" i="13"/>
  <c r="AQ48" i="13"/>
  <c r="AM12" i="13"/>
  <c r="AQ13" i="13"/>
  <c r="AP103" i="13"/>
  <c r="AQ10" i="13"/>
  <c r="AQ21" i="13"/>
  <c r="AO12" i="13"/>
  <c r="AQ60" i="13"/>
  <c r="AQ19" i="13"/>
  <c r="AQ84" i="13"/>
  <c r="AQ26" i="13"/>
  <c r="AQ83" i="13"/>
  <c r="AQ32" i="13"/>
  <c r="G73" i="13"/>
  <c r="AQ49" i="13"/>
  <c r="AP53" i="13"/>
  <c r="AP102" i="13"/>
  <c r="AQ20" i="13"/>
  <c r="AQ22" i="13"/>
  <c r="AO32" i="13"/>
  <c r="AQ77" i="13"/>
  <c r="AQ15" i="13"/>
  <c r="AQ76" i="13"/>
  <c r="AQ25" i="13"/>
  <c r="BE27" i="13"/>
  <c r="AB41" i="11" s="1"/>
  <c r="AO103" i="13"/>
  <c r="AQ11" i="13"/>
  <c r="AQ61" i="13"/>
  <c r="AQ45" i="13"/>
  <c r="AQ12" i="13"/>
  <c r="AQ33" i="13"/>
  <c r="AQ62" i="13"/>
  <c r="AM103" i="13"/>
  <c r="AQ75" i="13"/>
  <c r="AQ24" i="13"/>
  <c r="AQ95" i="13"/>
  <c r="AP27" i="13"/>
  <c r="AQ40" i="13"/>
  <c r="AP104" i="13"/>
  <c r="AQ53" i="13"/>
  <c r="AQ103" i="13"/>
  <c r="AQ39" i="13"/>
  <c r="AQ86" i="13"/>
  <c r="AQ38" i="13"/>
  <c r="AQ91" i="13"/>
  <c r="AP34" i="13"/>
  <c r="AQ36" i="13"/>
  <c r="AO104" i="13"/>
  <c r="BE24" i="13"/>
  <c r="AB38" i="11" s="1"/>
  <c r="AQ102" i="13"/>
  <c r="AQ35" i="13"/>
  <c r="AQ96" i="13"/>
  <c r="AQ34" i="13"/>
  <c r="AQ70" i="13"/>
  <c r="AP69" i="13"/>
  <c r="AN104" i="13"/>
  <c r="AQ97" i="13"/>
  <c r="AQ9" i="13"/>
  <c r="AP12" i="13"/>
  <c r="AQ92" i="13"/>
  <c r="AQ27" i="13"/>
  <c r="AQ63" i="13"/>
  <c r="AQ94" i="13"/>
  <c r="AN103" i="13"/>
  <c r="AQ54" i="13"/>
  <c r="AO27" i="13"/>
  <c r="AQ55" i="13"/>
  <c r="G101" i="13"/>
  <c r="AN102" i="13"/>
  <c r="AQ46" i="13"/>
  <c r="AP32" i="13"/>
  <c r="AQ47" i="13"/>
  <c r="AO20" i="13"/>
  <c r="AM102" i="13"/>
  <c r="AQ93" i="13"/>
  <c r="AQ85" i="13"/>
  <c r="AQ56" i="13"/>
  <c r="AP20" i="13"/>
  <c r="AO102" i="13"/>
  <c r="AQ68" i="13"/>
  <c r="AQ78" i="13"/>
  <c r="AQ44" i="13"/>
  <c r="AQ104" i="13"/>
  <c r="AN12" i="13"/>
  <c r="AQ31" i="13"/>
  <c r="AQ74" i="13"/>
  <c r="AQ37" i="13"/>
  <c r="AM104" i="13"/>
  <c r="AP13" i="13"/>
  <c r="AQ98" i="13"/>
  <c r="AP31" i="13"/>
  <c r="AQ67" i="13"/>
  <c r="AP11" i="13"/>
  <c r="AQ14" i="13"/>
  <c r="AQ23" i="13"/>
  <c r="AQ90" i="13"/>
  <c r="AQ69" i="13"/>
  <c r="AQ82" i="13"/>
  <c r="Q46" i="13"/>
  <c r="R46" i="13" s="1"/>
  <c r="C44" i="16"/>
  <c r="E896" i="19"/>
  <c r="W60" i="13" s="1"/>
  <c r="L868" i="19"/>
  <c r="E898" i="19" s="1"/>
  <c r="W94" i="13" s="1"/>
  <c r="G1318" i="19" s="1"/>
  <c r="E1318" i="19" s="1"/>
  <c r="AX513" i="26"/>
  <c r="F1100" i="19" s="1"/>
  <c r="Q24" i="13"/>
  <c r="R24" i="13" s="1"/>
  <c r="C22" i="16"/>
  <c r="F202" i="19"/>
  <c r="AF513" i="26"/>
  <c r="F648" i="19" s="1"/>
  <c r="AP513" i="26"/>
  <c r="F901" i="19" s="1"/>
  <c r="AS513" i="26"/>
  <c r="F986" i="19" s="1"/>
  <c r="L384" i="19"/>
  <c r="L385" i="19"/>
  <c r="L386" i="19"/>
  <c r="L379" i="19"/>
  <c r="L387" i="19"/>
  <c r="L380" i="19"/>
  <c r="L388" i="19"/>
  <c r="L381" i="19"/>
  <c r="L389" i="19"/>
  <c r="L382" i="19"/>
  <c r="L383" i="19"/>
  <c r="L390" i="19"/>
  <c r="Q25" i="13"/>
  <c r="R25" i="13" s="1"/>
  <c r="C23" i="16"/>
  <c r="AH513" i="26"/>
  <c r="F693" i="19" s="1"/>
  <c r="Q69" i="13"/>
  <c r="R69" i="13" s="1"/>
  <c r="C67" i="16"/>
  <c r="M175" i="19"/>
  <c r="M176" i="19"/>
  <c r="L176" i="19"/>
  <c r="L175" i="19"/>
  <c r="L177" i="19"/>
  <c r="D39" i="5"/>
  <c r="X39" i="5" s="1"/>
  <c r="I513" i="26"/>
  <c r="F55" i="19" s="1"/>
  <c r="AT513" i="26"/>
  <c r="U513" i="26"/>
  <c r="F372" i="19" s="1"/>
  <c r="E96" i="16"/>
  <c r="H96" i="16" s="1"/>
  <c r="F1322" i="19"/>
  <c r="Q20" i="13"/>
  <c r="G19" i="5"/>
  <c r="G18" i="5"/>
  <c r="E183" i="19"/>
  <c r="E688" i="19"/>
  <c r="W46" i="13" s="1"/>
  <c r="Q92" i="13"/>
  <c r="R92" i="13" s="1"/>
  <c r="C90" i="16"/>
  <c r="F204" i="19"/>
  <c r="AO513" i="26"/>
  <c r="F856" i="19" s="1"/>
  <c r="F210" i="19" l="1"/>
  <c r="E180" i="19"/>
  <c r="W19" i="13" s="1"/>
  <c r="D65" i="21"/>
  <c r="E65" i="21" s="1"/>
  <c r="D70" i="5"/>
  <c r="X70" i="5" s="1"/>
  <c r="C58" i="16"/>
  <c r="R19" i="13"/>
  <c r="D18" i="5" s="1"/>
  <c r="X18" i="5" s="1"/>
  <c r="E38" i="16"/>
  <c r="H38" i="16" s="1"/>
  <c r="L418" i="19"/>
  <c r="F65" i="21"/>
  <c r="G709" i="19" s="1"/>
  <c r="E711" i="19" s="1"/>
  <c r="W47" i="13" s="1"/>
  <c r="E1042" i="19"/>
  <c r="F1046" i="19" s="1"/>
  <c r="C82" i="16"/>
  <c r="Q74" i="13"/>
  <c r="R74" i="13" s="1"/>
  <c r="H1041" i="19"/>
  <c r="C21" i="16"/>
  <c r="C94" i="16"/>
  <c r="M1154" i="19"/>
  <c r="G1134" i="19" s="1"/>
  <c r="E11" i="16"/>
  <c r="H11" i="16" s="1"/>
  <c r="L415" i="19"/>
  <c r="E420" i="19" s="1"/>
  <c r="W32" i="13" s="1"/>
  <c r="X32" i="13" s="1"/>
  <c r="AX32" i="13" s="1"/>
  <c r="C20" i="16"/>
  <c r="E587" i="19"/>
  <c r="E37" i="16"/>
  <c r="H37" i="16" s="1"/>
  <c r="C95" i="16"/>
  <c r="E767" i="19"/>
  <c r="D59" i="5"/>
  <c r="X59" i="5" s="1"/>
  <c r="E51" i="16"/>
  <c r="H51" i="16" s="1"/>
  <c r="E58" i="16"/>
  <c r="Q14" i="13"/>
  <c r="R14" i="13" s="1"/>
  <c r="E12" i="16" s="1"/>
  <c r="H12" i="16" s="1"/>
  <c r="Q11" i="13"/>
  <c r="R11" i="13" s="1"/>
  <c r="E64" i="19" s="1"/>
  <c r="L391" i="19"/>
  <c r="G387" i="19" s="1"/>
  <c r="E394" i="19" s="1"/>
  <c r="W31" i="13" s="1"/>
  <c r="AR31" i="13" s="1"/>
  <c r="C25" i="16"/>
  <c r="C54" i="16"/>
  <c r="R44" i="13"/>
  <c r="D44" i="5" s="1"/>
  <c r="X44" i="5" s="1"/>
  <c r="Q32" i="13"/>
  <c r="R32" i="13" s="1"/>
  <c r="E408" i="19" s="1"/>
  <c r="F418" i="19" s="1"/>
  <c r="C34" i="16"/>
  <c r="E31" i="16"/>
  <c r="H31" i="16" s="1"/>
  <c r="E434" i="19"/>
  <c r="F438" i="19" s="1"/>
  <c r="G438" i="19" s="1"/>
  <c r="E441" i="19" s="1"/>
  <c r="W33" i="13" s="1"/>
  <c r="D33" i="5"/>
  <c r="X33" i="5" s="1"/>
  <c r="H518" i="19"/>
  <c r="E35" i="16"/>
  <c r="H35" i="16" s="1"/>
  <c r="E519" i="19"/>
  <c r="E544" i="19" s="1"/>
  <c r="W37" i="13" s="1"/>
  <c r="D37" i="5"/>
  <c r="X37" i="5" s="1"/>
  <c r="E845" i="19"/>
  <c r="F849" i="19" s="1"/>
  <c r="D55" i="5"/>
  <c r="X55" i="5" s="1"/>
  <c r="E54" i="16"/>
  <c r="H54" i="16" s="1"/>
  <c r="Q95" i="13"/>
  <c r="R95" i="13" s="1"/>
  <c r="C42" i="16"/>
  <c r="Q78" i="13"/>
  <c r="R78" i="13" s="1"/>
  <c r="K106" i="13"/>
  <c r="F30" i="3" s="1"/>
  <c r="Q15" i="13"/>
  <c r="R15" i="13" s="1"/>
  <c r="C13" i="16"/>
  <c r="Q63" i="13"/>
  <c r="R63" i="13" s="1"/>
  <c r="C61" i="16"/>
  <c r="C74" i="16"/>
  <c r="Q76" i="13"/>
  <c r="R76" i="13" s="1"/>
  <c r="C73" i="16"/>
  <c r="Q75" i="13"/>
  <c r="C89" i="16"/>
  <c r="Q91" i="13"/>
  <c r="R91" i="13" s="1"/>
  <c r="C53" i="16"/>
  <c r="Q55" i="13"/>
  <c r="R55" i="13" s="1"/>
  <c r="C29" i="16"/>
  <c r="Q31" i="13"/>
  <c r="R31" i="13" s="1"/>
  <c r="Q82" i="13"/>
  <c r="C80" i="16"/>
  <c r="C32" i="16"/>
  <c r="Q34" i="13"/>
  <c r="R34" i="13" s="1"/>
  <c r="C88" i="16"/>
  <c r="Q90" i="13"/>
  <c r="R90" i="13" s="1"/>
  <c r="C43" i="16"/>
  <c r="Q45" i="13"/>
  <c r="R45" i="13" s="1"/>
  <c r="D45" i="5" s="1"/>
  <c r="X45" i="5" s="1"/>
  <c r="C65" i="16"/>
  <c r="Q67" i="13"/>
  <c r="R67" i="13" s="1"/>
  <c r="Q93" i="13"/>
  <c r="R93" i="13" s="1"/>
  <c r="C91" i="16"/>
  <c r="C46" i="16"/>
  <c r="Q48" i="13"/>
  <c r="R48" i="13" s="1"/>
  <c r="C83" i="16"/>
  <c r="Q85" i="13"/>
  <c r="R85" i="13" s="1"/>
  <c r="C52" i="16"/>
  <c r="Q54" i="13"/>
  <c r="R54" i="13" s="1"/>
  <c r="C75" i="16"/>
  <c r="Q77" i="13"/>
  <c r="R77" i="13" s="1"/>
  <c r="C60" i="16"/>
  <c r="Q62" i="13"/>
  <c r="C19" i="16"/>
  <c r="Q21" i="13"/>
  <c r="R21" i="13" s="1"/>
  <c r="C66" i="16"/>
  <c r="Q68" i="13"/>
  <c r="R68" i="13" s="1"/>
  <c r="C36" i="16"/>
  <c r="Q38" i="13"/>
  <c r="R38" i="13" s="1"/>
  <c r="C8" i="16"/>
  <c r="Q10" i="13"/>
  <c r="R10" i="13" s="1"/>
  <c r="C7" i="16"/>
  <c r="Q9" i="13"/>
  <c r="R9" i="13" s="1"/>
  <c r="C45" i="16"/>
  <c r="Q47" i="13"/>
  <c r="R47" i="13" s="1"/>
  <c r="C84" i="16"/>
  <c r="Q86" i="13"/>
  <c r="R86" i="13" s="1"/>
  <c r="E252" i="19"/>
  <c r="D22" i="5"/>
  <c r="X22" i="5" s="1"/>
  <c r="E20" i="16"/>
  <c r="H20" i="16" s="1"/>
  <c r="E94" i="16"/>
  <c r="H94" i="16" s="1"/>
  <c r="E964" i="19"/>
  <c r="D96" i="5"/>
  <c r="X96" i="5" s="1"/>
  <c r="F1320" i="19"/>
  <c r="H744" i="19"/>
  <c r="E745" i="19"/>
  <c r="F749" i="19" s="1"/>
  <c r="E47" i="16"/>
  <c r="H47" i="16" s="1"/>
  <c r="D36" i="5"/>
  <c r="X36" i="5" s="1"/>
  <c r="H497" i="19"/>
  <c r="E34" i="16"/>
  <c r="H34" i="16" s="1"/>
  <c r="E498" i="19"/>
  <c r="E33" i="16"/>
  <c r="H33" i="16" s="1"/>
  <c r="D35" i="5"/>
  <c r="X35" i="5" s="1"/>
  <c r="E476" i="19"/>
  <c r="H475" i="19"/>
  <c r="U56" i="13"/>
  <c r="F55" i="5" s="1"/>
  <c r="E358" i="19"/>
  <c r="E367" i="19" s="1"/>
  <c r="W27" i="13" s="1"/>
  <c r="AR27" i="13" s="1"/>
  <c r="E25" i="16"/>
  <c r="H25" i="16" s="1"/>
  <c r="D27" i="5"/>
  <c r="X27" i="5" s="1"/>
  <c r="D83" i="5"/>
  <c r="X83" i="5" s="1"/>
  <c r="E1216" i="19"/>
  <c r="H1215" i="19"/>
  <c r="E81" i="16"/>
  <c r="H81" i="16" s="1"/>
  <c r="E92" i="16"/>
  <c r="H92" i="16" s="1"/>
  <c r="D94" i="5"/>
  <c r="X94" i="5" s="1"/>
  <c r="F1318" i="19"/>
  <c r="E868" i="19"/>
  <c r="E634" i="19"/>
  <c r="H844" i="19"/>
  <c r="D97" i="5"/>
  <c r="X97" i="5" s="1"/>
  <c r="D23" i="5"/>
  <c r="X23" i="5" s="1"/>
  <c r="E273" i="19"/>
  <c r="E21" i="16"/>
  <c r="H21" i="16" s="1"/>
  <c r="D26" i="5"/>
  <c r="X26" i="5" s="1"/>
  <c r="E24" i="16"/>
  <c r="H24" i="16" s="1"/>
  <c r="H336" i="19"/>
  <c r="E337" i="19"/>
  <c r="F341" i="19" s="1"/>
  <c r="E82" i="16"/>
  <c r="H82" i="16" s="1"/>
  <c r="E1243" i="19"/>
  <c r="D84" i="5"/>
  <c r="X84" i="5" s="1"/>
  <c r="E996" i="19"/>
  <c r="F1321" i="19"/>
  <c r="D13" i="5"/>
  <c r="X13" i="5" s="1"/>
  <c r="E124" i="19"/>
  <c r="E132" i="19" s="1"/>
  <c r="E10" i="16"/>
  <c r="H10" i="16" s="1"/>
  <c r="E146" i="19"/>
  <c r="E155" i="19" s="1"/>
  <c r="W13" i="13" s="1"/>
  <c r="E59" i="16"/>
  <c r="H59" i="16" s="1"/>
  <c r="E910" i="19"/>
  <c r="D61" i="5"/>
  <c r="X61" i="5" s="1"/>
  <c r="H316" i="19"/>
  <c r="E23" i="16"/>
  <c r="H23" i="16" s="1"/>
  <c r="E317" i="19"/>
  <c r="F321" i="19" s="1"/>
  <c r="D25" i="5"/>
  <c r="X25" i="5" s="1"/>
  <c r="AU98" i="13"/>
  <c r="AV98" i="13" s="1"/>
  <c r="AR98" i="13"/>
  <c r="AS98" i="13" s="1"/>
  <c r="AX98" i="13"/>
  <c r="AY98" i="13" s="1"/>
  <c r="AX44" i="13"/>
  <c r="AY44" i="13" s="1"/>
  <c r="AU44" i="13"/>
  <c r="AV44" i="13" s="1"/>
  <c r="AR44" i="13"/>
  <c r="AS44" i="13" s="1"/>
  <c r="G44" i="5" s="1"/>
  <c r="AX9" i="13"/>
  <c r="AU9" i="13"/>
  <c r="AR9" i="13"/>
  <c r="AX39" i="13"/>
  <c r="AY39" i="13" s="1"/>
  <c r="AR39" i="13"/>
  <c r="AS39" i="13" s="1"/>
  <c r="G39" i="5" s="1"/>
  <c r="AU39" i="13"/>
  <c r="AV39" i="13" s="1"/>
  <c r="AX75" i="13"/>
  <c r="AY75" i="13" s="1"/>
  <c r="AU75" i="13"/>
  <c r="AV75" i="13" s="1"/>
  <c r="AR75" i="13"/>
  <c r="AS75" i="13" s="1"/>
  <c r="G75" i="5" s="1"/>
  <c r="AR20" i="13"/>
  <c r="AU20" i="13"/>
  <c r="AX20" i="13"/>
  <c r="AU84" i="13"/>
  <c r="AV84" i="13" s="1"/>
  <c r="AR84" i="13"/>
  <c r="AS84" i="13" s="1"/>
  <c r="G84" i="5" s="1"/>
  <c r="AX84" i="13"/>
  <c r="AY84" i="13" s="1"/>
  <c r="AU69" i="13"/>
  <c r="AX69" i="13"/>
  <c r="AU78" i="13"/>
  <c r="AV78" i="13" s="1"/>
  <c r="AX78" i="13"/>
  <c r="AY78" i="13" s="1"/>
  <c r="AR78" i="13"/>
  <c r="AS78" i="13" s="1"/>
  <c r="G78" i="5" s="1"/>
  <c r="AU54" i="13"/>
  <c r="AV54" i="13" s="1"/>
  <c r="AR54" i="13"/>
  <c r="AS54" i="13" s="1"/>
  <c r="G53" i="5" s="1"/>
  <c r="AX54" i="13"/>
  <c r="AY54" i="13" s="1"/>
  <c r="AU97" i="13"/>
  <c r="AV97" i="13" s="1"/>
  <c r="AX97" i="13"/>
  <c r="AY97" i="13" s="1"/>
  <c r="AR97" i="13"/>
  <c r="AS97" i="13" s="1"/>
  <c r="G97" i="5" s="1"/>
  <c r="AR19" i="13"/>
  <c r="AS19" i="13" s="1"/>
  <c r="AX19" i="13"/>
  <c r="AY19" i="13" s="1"/>
  <c r="AU19" i="13"/>
  <c r="AV19" i="13" s="1"/>
  <c r="AR48" i="13"/>
  <c r="AS48" i="13" s="1"/>
  <c r="G48" i="5" s="1"/>
  <c r="AU48" i="13"/>
  <c r="AV48" i="13" s="1"/>
  <c r="AX48" i="13"/>
  <c r="AY48" i="13" s="1"/>
  <c r="R20" i="13"/>
  <c r="Q28" i="13"/>
  <c r="AR90" i="13"/>
  <c r="AS90" i="13" s="1"/>
  <c r="G90" i="5" s="1"/>
  <c r="AX90" i="13"/>
  <c r="AY90" i="13" s="1"/>
  <c r="AU90" i="13"/>
  <c r="AV90" i="13" s="1"/>
  <c r="AR68" i="13"/>
  <c r="AS68" i="13" s="1"/>
  <c r="G68" i="5" s="1"/>
  <c r="AU68" i="13"/>
  <c r="AV68" i="13" s="1"/>
  <c r="AX68" i="13"/>
  <c r="AY68" i="13" s="1"/>
  <c r="AU47" i="13"/>
  <c r="AV47" i="13" s="1"/>
  <c r="AX47" i="13"/>
  <c r="AY47" i="13" s="1"/>
  <c r="AR47" i="13"/>
  <c r="AS47" i="13" s="1"/>
  <c r="G47" i="5" s="1"/>
  <c r="AR53" i="13"/>
  <c r="AU53" i="13"/>
  <c r="AX53" i="13"/>
  <c r="AU62" i="13"/>
  <c r="AV62" i="13" s="1"/>
  <c r="AR62" i="13"/>
  <c r="AS62" i="13" s="1"/>
  <c r="G63" i="5" s="1"/>
  <c r="AX62" i="13"/>
  <c r="AY62" i="13" s="1"/>
  <c r="AX25" i="13"/>
  <c r="AY25" i="13" s="1"/>
  <c r="AU25" i="13"/>
  <c r="AV25" i="13" s="1"/>
  <c r="AR25" i="13"/>
  <c r="AS25" i="13" s="1"/>
  <c r="G25" i="5" s="1"/>
  <c r="AR60" i="13"/>
  <c r="AS60" i="13" s="1"/>
  <c r="AU60" i="13"/>
  <c r="AV60" i="13" s="1"/>
  <c r="AX60" i="13"/>
  <c r="AY60" i="13" s="1"/>
  <c r="E678" i="19"/>
  <c r="E90" i="16"/>
  <c r="H90" i="16" s="1"/>
  <c r="F1316" i="19"/>
  <c r="D92" i="5"/>
  <c r="X92" i="5" s="1"/>
  <c r="E677" i="19"/>
  <c r="E44" i="16"/>
  <c r="H44" i="16" s="1"/>
  <c r="D46" i="5"/>
  <c r="X46" i="5" s="1"/>
  <c r="AU23" i="13"/>
  <c r="AV23" i="13" s="1"/>
  <c r="AR23" i="13"/>
  <c r="AS23" i="13" s="1"/>
  <c r="G23" i="5" s="1"/>
  <c r="AX23" i="13"/>
  <c r="AY23" i="13" s="1"/>
  <c r="AR37" i="13"/>
  <c r="AS37" i="13" s="1"/>
  <c r="G37" i="5" s="1"/>
  <c r="AU37" i="13"/>
  <c r="AV37" i="13" s="1"/>
  <c r="AX37" i="13"/>
  <c r="AY37" i="13" s="1"/>
  <c r="AR94" i="13"/>
  <c r="AS94" i="13" s="1"/>
  <c r="G94" i="5" s="1"/>
  <c r="AU94" i="13"/>
  <c r="AV94" i="13" s="1"/>
  <c r="AX94" i="13"/>
  <c r="AY94" i="13" s="1"/>
  <c r="AU36" i="13"/>
  <c r="AV36" i="13" s="1"/>
  <c r="AX36" i="13"/>
  <c r="AY36" i="13" s="1"/>
  <c r="AR36" i="13"/>
  <c r="AS36" i="13" s="1"/>
  <c r="G36" i="5" s="1"/>
  <c r="AX33" i="13"/>
  <c r="AY33" i="13" s="1"/>
  <c r="AR33" i="13"/>
  <c r="AS33" i="13" s="1"/>
  <c r="G33" i="5" s="1"/>
  <c r="AU33" i="13"/>
  <c r="AV33" i="13" s="1"/>
  <c r="AR76" i="13"/>
  <c r="AS76" i="13" s="1"/>
  <c r="G76" i="5" s="1"/>
  <c r="AU76" i="13"/>
  <c r="AV76" i="13" s="1"/>
  <c r="AX76" i="13"/>
  <c r="AY76" i="13" s="1"/>
  <c r="AU49" i="13"/>
  <c r="AV49" i="13" s="1"/>
  <c r="AR49" i="13"/>
  <c r="AS49" i="13" s="1"/>
  <c r="AX49" i="13"/>
  <c r="AY49" i="13" s="1"/>
  <c r="E295" i="19"/>
  <c r="E22" i="16"/>
  <c r="H22" i="16" s="1"/>
  <c r="H294" i="19"/>
  <c r="D24" i="5"/>
  <c r="X24" i="5" s="1"/>
  <c r="AR14" i="13"/>
  <c r="AS14" i="13" s="1"/>
  <c r="AU14" i="13"/>
  <c r="AV14" i="13" s="1"/>
  <c r="AX14" i="13"/>
  <c r="AY14" i="13" s="1"/>
  <c r="AR74" i="13"/>
  <c r="AS74" i="13" s="1"/>
  <c r="G74" i="5" s="1"/>
  <c r="AX74" i="13"/>
  <c r="AY74" i="13" s="1"/>
  <c r="AU74" i="13"/>
  <c r="AV74" i="13" s="1"/>
  <c r="AX46" i="13"/>
  <c r="AY46" i="13" s="1"/>
  <c r="AU46" i="13"/>
  <c r="AV46" i="13" s="1"/>
  <c r="AR46" i="13"/>
  <c r="AS46" i="13" s="1"/>
  <c r="G46" i="5" s="1"/>
  <c r="AU63" i="13"/>
  <c r="AV63" i="13" s="1"/>
  <c r="AR63" i="13"/>
  <c r="AS63" i="13" s="1"/>
  <c r="AX63" i="13"/>
  <c r="AY63" i="13" s="1"/>
  <c r="AR70" i="13"/>
  <c r="AS70" i="13" s="1"/>
  <c r="G70" i="5" s="1"/>
  <c r="AX70" i="13"/>
  <c r="AY70" i="13" s="1"/>
  <c r="AU70" i="13"/>
  <c r="AV70" i="13" s="1"/>
  <c r="AX40" i="13"/>
  <c r="AU40" i="13"/>
  <c r="AR40" i="13"/>
  <c r="AU15" i="13"/>
  <c r="AV15" i="13" s="1"/>
  <c r="AR15" i="13"/>
  <c r="AS15" i="13" s="1"/>
  <c r="AX15" i="13"/>
  <c r="AY15" i="13" s="1"/>
  <c r="AU21" i="13"/>
  <c r="AV21" i="13" s="1"/>
  <c r="AR21" i="13"/>
  <c r="AS21" i="13" s="1"/>
  <c r="G21" i="5" s="1"/>
  <c r="AX21" i="13"/>
  <c r="AY21" i="13" s="1"/>
  <c r="E1015" i="19"/>
  <c r="E67" i="16"/>
  <c r="H67" i="16" s="1"/>
  <c r="D69" i="5"/>
  <c r="X69" i="5" s="1"/>
  <c r="L1026" i="19"/>
  <c r="E1028" i="19" s="1"/>
  <c r="W69" i="13" s="1"/>
  <c r="AR69" i="13" s="1"/>
  <c r="H58" i="16"/>
  <c r="AR82" i="13"/>
  <c r="AS82" i="13" s="1"/>
  <c r="G82" i="5" s="1"/>
  <c r="AU82" i="13"/>
  <c r="AV82" i="13" s="1"/>
  <c r="AX82" i="13"/>
  <c r="AY82" i="13" s="1"/>
  <c r="AX31" i="13"/>
  <c r="AU31" i="13"/>
  <c r="AU56" i="13"/>
  <c r="AV56" i="13" s="1"/>
  <c r="AX56" i="13"/>
  <c r="AY56" i="13" s="1"/>
  <c r="AR56" i="13"/>
  <c r="AS56" i="13" s="1"/>
  <c r="G55" i="5" s="1"/>
  <c r="AX27" i="13"/>
  <c r="AU27" i="13"/>
  <c r="AX34" i="13"/>
  <c r="AU34" i="13"/>
  <c r="AR91" i="13"/>
  <c r="AS91" i="13" s="1"/>
  <c r="G91" i="5" s="1"/>
  <c r="AU91" i="13"/>
  <c r="AV91" i="13" s="1"/>
  <c r="AX91" i="13"/>
  <c r="AY91" i="13" s="1"/>
  <c r="AR45" i="13"/>
  <c r="AS45" i="13" s="1"/>
  <c r="G45" i="5" s="1"/>
  <c r="AX45" i="13"/>
  <c r="AY45" i="13" s="1"/>
  <c r="AU45" i="13"/>
  <c r="AV45" i="13" s="1"/>
  <c r="AU77" i="13"/>
  <c r="AV77" i="13" s="1"/>
  <c r="AR77" i="13"/>
  <c r="AS77" i="13" s="1"/>
  <c r="G77" i="5" s="1"/>
  <c r="AX77" i="13"/>
  <c r="AY77" i="13" s="1"/>
  <c r="AR10" i="13"/>
  <c r="AS10" i="13" s="1"/>
  <c r="G11" i="5" s="1"/>
  <c r="AU10" i="13"/>
  <c r="AV10" i="13" s="1"/>
  <c r="AX10" i="13"/>
  <c r="AY10" i="13" s="1"/>
  <c r="AX67" i="13"/>
  <c r="AU67" i="13"/>
  <c r="AX85" i="13"/>
  <c r="AY85" i="13" s="1"/>
  <c r="AR85" i="13"/>
  <c r="AS85" i="13" s="1"/>
  <c r="G85" i="5" s="1"/>
  <c r="AU85" i="13"/>
  <c r="AV85" i="13" s="1"/>
  <c r="AX92" i="13"/>
  <c r="AY92" i="13" s="1"/>
  <c r="AR92" i="13"/>
  <c r="AS92" i="13" s="1"/>
  <c r="G92" i="5" s="1"/>
  <c r="AU92" i="13"/>
  <c r="AV92" i="13" s="1"/>
  <c r="AU96" i="13"/>
  <c r="AV96" i="13" s="1"/>
  <c r="AX96" i="13"/>
  <c r="AY96" i="13" s="1"/>
  <c r="AR96" i="13"/>
  <c r="AS96" i="13" s="1"/>
  <c r="G96" i="5" s="1"/>
  <c r="AX38" i="13"/>
  <c r="AY38" i="13" s="1"/>
  <c r="AU38" i="13"/>
  <c r="AV38" i="13" s="1"/>
  <c r="AR38" i="13"/>
  <c r="AS38" i="13" s="1"/>
  <c r="G38" i="5" s="1"/>
  <c r="AR95" i="13"/>
  <c r="AS95" i="13" s="1"/>
  <c r="G95" i="5" s="1"/>
  <c r="AU95" i="13"/>
  <c r="AV95" i="13" s="1"/>
  <c r="AX95" i="13"/>
  <c r="AY95" i="13" s="1"/>
  <c r="AU61" i="13"/>
  <c r="AV61" i="13" s="1"/>
  <c r="AR61" i="13"/>
  <c r="AS61" i="13" s="1"/>
  <c r="AX61" i="13"/>
  <c r="AY61" i="13" s="1"/>
  <c r="AU83" i="13"/>
  <c r="AV83" i="13" s="1"/>
  <c r="AX83" i="13"/>
  <c r="AY83" i="13" s="1"/>
  <c r="AR83" i="13"/>
  <c r="AS83" i="13" s="1"/>
  <c r="G83" i="5" s="1"/>
  <c r="F256" i="19"/>
  <c r="G256" i="19" s="1"/>
  <c r="E259" i="19" s="1"/>
  <c r="W22" i="13" s="1"/>
  <c r="R71" i="13"/>
  <c r="AX93" i="13"/>
  <c r="AY93" i="13" s="1"/>
  <c r="AR93" i="13"/>
  <c r="AS93" i="13" s="1"/>
  <c r="G93" i="5" s="1"/>
  <c r="AU93" i="13"/>
  <c r="AV93" i="13" s="1"/>
  <c r="AU55" i="13"/>
  <c r="AV55" i="13" s="1"/>
  <c r="AR55" i="13"/>
  <c r="AS55" i="13" s="1"/>
  <c r="G54" i="5" s="1"/>
  <c r="AX55" i="13"/>
  <c r="AY55" i="13" s="1"/>
  <c r="AR35" i="13"/>
  <c r="AS35" i="13" s="1"/>
  <c r="G35" i="5" s="1"/>
  <c r="AU35" i="13"/>
  <c r="AV35" i="13" s="1"/>
  <c r="AX35" i="13"/>
  <c r="AY35" i="13" s="1"/>
  <c r="AU86" i="13"/>
  <c r="AV86" i="13" s="1"/>
  <c r="AX86" i="13"/>
  <c r="AY86" i="13" s="1"/>
  <c r="AR86" i="13"/>
  <c r="AS86" i="13" s="1"/>
  <c r="G86" i="5" s="1"/>
  <c r="AR24" i="13"/>
  <c r="AS24" i="13" s="1"/>
  <c r="G24" i="5" s="1"/>
  <c r="AU24" i="13"/>
  <c r="AV24" i="13" s="1"/>
  <c r="AX24" i="13"/>
  <c r="AY24" i="13" s="1"/>
  <c r="AR11" i="13"/>
  <c r="AU11" i="13"/>
  <c r="AX11" i="13"/>
  <c r="AX22" i="13"/>
  <c r="AY22" i="13" s="1"/>
  <c r="AR22" i="13"/>
  <c r="AS22" i="13" s="1"/>
  <c r="G22" i="5" s="1"/>
  <c r="AU22" i="13"/>
  <c r="AV22" i="13" s="1"/>
  <c r="AX26" i="13"/>
  <c r="AY26" i="13" s="1"/>
  <c r="AR26" i="13"/>
  <c r="AU26" i="13"/>
  <c r="AV26" i="13" s="1"/>
  <c r="AR13" i="13"/>
  <c r="AU13" i="13"/>
  <c r="AX13" i="13"/>
  <c r="AU32" i="13" l="1"/>
  <c r="AV32" i="13" s="1"/>
  <c r="AR32" i="13"/>
  <c r="BF27" i="13" s="1"/>
  <c r="AC41" i="11" s="1"/>
  <c r="X41" i="13"/>
  <c r="E17" i="16"/>
  <c r="H17" i="16" s="1"/>
  <c r="E171" i="19"/>
  <c r="E43" i="16"/>
  <c r="H43" i="16" s="1"/>
  <c r="E42" i="16"/>
  <c r="H42" i="16" s="1"/>
  <c r="D12" i="5"/>
  <c r="X12" i="5" s="1"/>
  <c r="E657" i="19"/>
  <c r="R50" i="13"/>
  <c r="T45" i="13" s="1"/>
  <c r="E9" i="16"/>
  <c r="H9" i="16" s="1"/>
  <c r="R57" i="13"/>
  <c r="T55" i="13" s="1"/>
  <c r="H824" i="19" s="1"/>
  <c r="E30" i="16"/>
  <c r="D32" i="5"/>
  <c r="X32" i="5" s="1"/>
  <c r="E1064" i="19"/>
  <c r="E1073" i="19" s="1"/>
  <c r="W74" i="13" s="1"/>
  <c r="D74" i="5"/>
  <c r="X74" i="5" s="1"/>
  <c r="E72" i="16"/>
  <c r="H72" i="16" s="1"/>
  <c r="F591" i="19"/>
  <c r="U591" i="19"/>
  <c r="U481" i="19"/>
  <c r="U480" i="19"/>
  <c r="AA480" i="19" s="1"/>
  <c r="U482" i="19"/>
  <c r="AS26" i="13"/>
  <c r="E347" i="19" s="1"/>
  <c r="BH24" i="13"/>
  <c r="BG24" i="13"/>
  <c r="BF24" i="13"/>
  <c r="AC38" i="11" s="1"/>
  <c r="R41" i="13"/>
  <c r="T54" i="13"/>
  <c r="H801" i="19" s="1"/>
  <c r="U14" i="13"/>
  <c r="E1229" i="19"/>
  <c r="W83" i="13" s="1"/>
  <c r="Q16" i="13"/>
  <c r="E1253" i="19"/>
  <c r="W84" i="13" s="1"/>
  <c r="E852" i="19"/>
  <c r="E88" i="16"/>
  <c r="H88" i="16" s="1"/>
  <c r="D90" i="5"/>
  <c r="X90" i="5" s="1"/>
  <c r="E147" i="19"/>
  <c r="F153" i="19" s="1"/>
  <c r="F1314" i="19"/>
  <c r="R99" i="13"/>
  <c r="T96" i="13" s="1"/>
  <c r="U96" i="13" s="1"/>
  <c r="F96" i="5" s="1"/>
  <c r="E13" i="19"/>
  <c r="E22" i="19" s="1"/>
  <c r="W9" i="13" s="1"/>
  <c r="D10" i="5"/>
  <c r="X10" i="5" s="1"/>
  <c r="E7" i="16"/>
  <c r="H7" i="16" s="1"/>
  <c r="R16" i="13"/>
  <c r="T56" i="13"/>
  <c r="H845" i="19" s="1"/>
  <c r="Q50" i="13"/>
  <c r="Q41" i="13"/>
  <c r="E66" i="16"/>
  <c r="H66" i="16" s="1"/>
  <c r="E995" i="19"/>
  <c r="D68" i="5"/>
  <c r="X68" i="5" s="1"/>
  <c r="R75" i="13"/>
  <c r="R79" i="13" s="1"/>
  <c r="T74" i="13" s="1"/>
  <c r="Q79" i="13"/>
  <c r="E91" i="16"/>
  <c r="H91" i="16" s="1"/>
  <c r="F1317" i="19"/>
  <c r="E768" i="19"/>
  <c r="L771" i="19" s="1"/>
  <c r="E789" i="19" s="1"/>
  <c r="W93" i="13" s="1"/>
  <c r="G1317" i="19" s="1"/>
  <c r="E1317" i="19" s="1"/>
  <c r="D93" i="5"/>
  <c r="X93" i="5" s="1"/>
  <c r="Q87" i="13"/>
  <c r="R82" i="13"/>
  <c r="R87" i="13" s="1"/>
  <c r="Q99" i="13"/>
  <c r="Q57" i="13"/>
  <c r="F1319" i="19"/>
  <c r="E93" i="16"/>
  <c r="H93" i="16" s="1"/>
  <c r="E911" i="19"/>
  <c r="D95" i="5"/>
  <c r="X95" i="5" s="1"/>
  <c r="R62" i="13"/>
  <c r="D63" i="5" s="1"/>
  <c r="X63" i="5" s="1"/>
  <c r="Q64" i="13"/>
  <c r="E76" i="16"/>
  <c r="H76" i="16" s="1"/>
  <c r="E1157" i="19"/>
  <c r="F1164" i="19" s="1"/>
  <c r="D78" i="5"/>
  <c r="X78" i="5" s="1"/>
  <c r="H1156" i="19"/>
  <c r="Q71" i="13"/>
  <c r="F279" i="19"/>
  <c r="M276" i="19"/>
  <c r="M277" i="19"/>
  <c r="E29" i="16"/>
  <c r="H29" i="16" s="1"/>
  <c r="E383" i="19"/>
  <c r="F387" i="19" s="1"/>
  <c r="D31" i="5"/>
  <c r="X31" i="5" s="1"/>
  <c r="E74" i="16"/>
  <c r="H74" i="16" s="1"/>
  <c r="D76" i="5"/>
  <c r="X76" i="5" s="1"/>
  <c r="E1109" i="19"/>
  <c r="E8" i="16"/>
  <c r="D11" i="5"/>
  <c r="X11" i="5" s="1"/>
  <c r="E36" i="19"/>
  <c r="E50" i="19" s="1"/>
  <c r="W10" i="13" s="1"/>
  <c r="H724" i="19"/>
  <c r="E46" i="16"/>
  <c r="H46" i="16" s="1"/>
  <c r="D48" i="5"/>
  <c r="X48" i="5" s="1"/>
  <c r="E725" i="19"/>
  <c r="F729" i="19" s="1"/>
  <c r="T91" i="13"/>
  <c r="U91" i="13" s="1"/>
  <c r="F91" i="5" s="1"/>
  <c r="E824" i="19"/>
  <c r="E831" i="19" s="1"/>
  <c r="W55" i="13" s="1"/>
  <c r="D54" i="5"/>
  <c r="X54" i="5" s="1"/>
  <c r="E53" i="16"/>
  <c r="H53" i="16" s="1"/>
  <c r="H823" i="19"/>
  <c r="C36" i="11"/>
  <c r="F1291" i="19"/>
  <c r="G1291" i="19" s="1"/>
  <c r="E84" i="16"/>
  <c r="H84" i="16" s="1"/>
  <c r="H1286" i="19"/>
  <c r="E1287" i="19"/>
  <c r="D86" i="5"/>
  <c r="X86" i="5" s="1"/>
  <c r="E558" i="19"/>
  <c r="E36" i="16"/>
  <c r="H36" i="16" s="1"/>
  <c r="D38" i="5"/>
  <c r="X38" i="5" s="1"/>
  <c r="E75" i="16"/>
  <c r="H75" i="16" s="1"/>
  <c r="E1130" i="19"/>
  <c r="F1134" i="19" s="1"/>
  <c r="D77" i="5"/>
  <c r="X77" i="5" s="1"/>
  <c r="E61" i="16"/>
  <c r="H61" i="16" s="1"/>
  <c r="U63" i="13"/>
  <c r="E32" i="16"/>
  <c r="H32" i="16" s="1"/>
  <c r="E455" i="19"/>
  <c r="E462" i="19" s="1"/>
  <c r="W34" i="13" s="1"/>
  <c r="AR34" i="13" s="1"/>
  <c r="AS34" i="13" s="1"/>
  <c r="D34" i="5"/>
  <c r="X34" i="5" s="1"/>
  <c r="D91" i="5"/>
  <c r="X91" i="5" s="1"/>
  <c r="E89" i="16"/>
  <c r="H89" i="16" s="1"/>
  <c r="E195" i="19"/>
  <c r="F1315" i="19"/>
  <c r="H701" i="19"/>
  <c r="E702" i="19"/>
  <c r="F709" i="19" s="1"/>
  <c r="D47" i="5"/>
  <c r="X47" i="5" s="1"/>
  <c r="E45" i="16"/>
  <c r="H45" i="16" s="1"/>
  <c r="E801" i="19"/>
  <c r="G805" i="19" s="1"/>
  <c r="E52" i="16"/>
  <c r="D53" i="5"/>
  <c r="X53" i="5" s="1"/>
  <c r="E13" i="16"/>
  <c r="H13" i="16" s="1"/>
  <c r="U15" i="13"/>
  <c r="D67" i="5"/>
  <c r="X67" i="5" s="1"/>
  <c r="E65" i="16"/>
  <c r="H65" i="16" s="1"/>
  <c r="E963" i="19"/>
  <c r="E981" i="19" s="1"/>
  <c r="W67" i="13" s="1"/>
  <c r="H226" i="19"/>
  <c r="E227" i="19"/>
  <c r="E19" i="16"/>
  <c r="H19" i="16" s="1"/>
  <c r="D21" i="5"/>
  <c r="X21" i="5" s="1"/>
  <c r="E83" i="16"/>
  <c r="E1267" i="19"/>
  <c r="F1271" i="19"/>
  <c r="G1271" i="19" s="1"/>
  <c r="D85" i="5"/>
  <c r="X85" i="5" s="1"/>
  <c r="F503" i="19"/>
  <c r="G503" i="19" s="1"/>
  <c r="F502" i="19"/>
  <c r="G502" i="19" s="1"/>
  <c r="F640" i="19"/>
  <c r="G640" i="19" s="1"/>
  <c r="F641" i="19" s="1"/>
  <c r="L132" i="19"/>
  <c r="X12" i="13" s="1"/>
  <c r="W12" i="13"/>
  <c r="F482" i="19"/>
  <c r="F481" i="19"/>
  <c r="F480" i="19"/>
  <c r="E927" i="19"/>
  <c r="F914" i="19"/>
  <c r="BF34" i="13"/>
  <c r="AS69" i="13"/>
  <c r="BF25" i="13"/>
  <c r="AC39" i="11" s="1"/>
  <c r="AS27" i="13"/>
  <c r="AY40" i="13"/>
  <c r="BH29" i="13"/>
  <c r="F682" i="19"/>
  <c r="F686" i="19"/>
  <c r="AY9" i="13"/>
  <c r="BF23" i="13"/>
  <c r="AC37" i="11" s="1"/>
  <c r="AS20" i="13"/>
  <c r="AS32" i="13"/>
  <c r="BH25" i="13"/>
  <c r="AY27" i="13"/>
  <c r="AY32" i="13"/>
  <c r="BH27" i="13"/>
  <c r="F681" i="19"/>
  <c r="F685" i="19"/>
  <c r="E194" i="19"/>
  <c r="E18" i="16"/>
  <c r="D20" i="5"/>
  <c r="X20" i="5" s="1"/>
  <c r="R28" i="13"/>
  <c r="AY69" i="13"/>
  <c r="BH34" i="13"/>
  <c r="BG25" i="13"/>
  <c r="AV27" i="13"/>
  <c r="H30" i="16"/>
  <c r="BG29" i="13"/>
  <c r="AV40" i="13"/>
  <c r="BH21" i="13"/>
  <c r="AY13" i="13"/>
  <c r="L659" i="19"/>
  <c r="L660" i="19"/>
  <c r="F661" i="19"/>
  <c r="E663" i="19" s="1"/>
  <c r="W45" i="13" s="1"/>
  <c r="BG33" i="13"/>
  <c r="AV67" i="13"/>
  <c r="F301" i="19"/>
  <c r="F300" i="19"/>
  <c r="E303" i="19"/>
  <c r="W24" i="13" s="1"/>
  <c r="AY53" i="13"/>
  <c r="BH30" i="13"/>
  <c r="BG34" i="13"/>
  <c r="AV69" i="13"/>
  <c r="AV9" i="13"/>
  <c r="BG21" i="13"/>
  <c r="AV13" i="13"/>
  <c r="BH19" i="13"/>
  <c r="AY11" i="13"/>
  <c r="D49" i="5"/>
  <c r="X49" i="5" s="1"/>
  <c r="AY67" i="13"/>
  <c r="BH33" i="13"/>
  <c r="BG28" i="13"/>
  <c r="AV34" i="13"/>
  <c r="AS31" i="13"/>
  <c r="BF26" i="13"/>
  <c r="AC40" i="11" s="1"/>
  <c r="BG30" i="13"/>
  <c r="AV53" i="13"/>
  <c r="AY20" i="13"/>
  <c r="BH23" i="13"/>
  <c r="AS11" i="13"/>
  <c r="BF19" i="13"/>
  <c r="AC33" i="11" s="1"/>
  <c r="T69" i="13"/>
  <c r="C38" i="11"/>
  <c r="T68" i="13"/>
  <c r="T67" i="13"/>
  <c r="T70" i="13"/>
  <c r="D71" i="5"/>
  <c r="X71" i="5" s="1"/>
  <c r="AY31" i="13"/>
  <c r="BH26" i="13"/>
  <c r="AS13" i="13"/>
  <c r="BF21" i="13"/>
  <c r="AC35" i="11" s="1"/>
  <c r="BG19" i="13"/>
  <c r="AV11" i="13"/>
  <c r="AY34" i="13"/>
  <c r="BH28" i="13"/>
  <c r="AV31" i="13"/>
  <c r="BG26" i="13"/>
  <c r="T38" i="13"/>
  <c r="T32" i="13"/>
  <c r="T31" i="13"/>
  <c r="T37" i="13"/>
  <c r="T35" i="13"/>
  <c r="D41" i="5"/>
  <c r="X41" i="5" s="1"/>
  <c r="T33" i="13"/>
  <c r="T34" i="13"/>
  <c r="C34" i="11"/>
  <c r="T36" i="13"/>
  <c r="T40" i="13"/>
  <c r="T39" i="13"/>
  <c r="AS40" i="13"/>
  <c r="BF29" i="13"/>
  <c r="AC43" i="11" s="1"/>
  <c r="AS53" i="13"/>
  <c r="BF30" i="13"/>
  <c r="AC44" i="11" s="1"/>
  <c r="BG23" i="13"/>
  <c r="AV20" i="13"/>
  <c r="AS9" i="13"/>
  <c r="G10" i="5" s="1"/>
  <c r="BG27" i="13" l="1"/>
  <c r="R10" i="22" s="1"/>
  <c r="BF28" i="13"/>
  <c r="AC42" i="11" s="1"/>
  <c r="E69" i="16"/>
  <c r="H69" i="16" s="1"/>
  <c r="G26" i="5"/>
  <c r="D56" i="5"/>
  <c r="X56" i="5" s="1"/>
  <c r="T44" i="13"/>
  <c r="H634" i="19" s="1"/>
  <c r="T47" i="13"/>
  <c r="U47" i="13" s="1"/>
  <c r="T49" i="13"/>
  <c r="H745" i="19" s="1"/>
  <c r="T46" i="13"/>
  <c r="U46" i="13" s="1"/>
  <c r="T48" i="13"/>
  <c r="T53" i="13"/>
  <c r="T57" i="13" s="1"/>
  <c r="C35" i="11"/>
  <c r="E505" i="19"/>
  <c r="W36" i="13" s="1"/>
  <c r="U36" i="13" s="1"/>
  <c r="H519" i="19"/>
  <c r="U37" i="13"/>
  <c r="F805" i="19"/>
  <c r="E810" i="19"/>
  <c r="W54" i="13" s="1"/>
  <c r="U54" i="13" s="1"/>
  <c r="E811" i="19" s="1"/>
  <c r="AA591" i="19"/>
  <c r="AG591" i="19" s="1"/>
  <c r="AB591" i="19"/>
  <c r="AC591" i="19"/>
  <c r="AB480" i="19"/>
  <c r="G480" i="19" s="1"/>
  <c r="AC480" i="19"/>
  <c r="AC482" i="19"/>
  <c r="AA482" i="19"/>
  <c r="AB482" i="19"/>
  <c r="AC481" i="19"/>
  <c r="AB481" i="19"/>
  <c r="AA481" i="19"/>
  <c r="Q106" i="13"/>
  <c r="F31" i="3" s="1"/>
  <c r="E97" i="16"/>
  <c r="H97" i="16" s="1"/>
  <c r="U55" i="13"/>
  <c r="F54" i="5" s="1"/>
  <c r="T90" i="13"/>
  <c r="U90" i="13" s="1"/>
  <c r="F90" i="5" s="1"/>
  <c r="G1164" i="19"/>
  <c r="E1167" i="19" s="1"/>
  <c r="W78" i="13" s="1"/>
  <c r="E1294" i="19"/>
  <c r="W86" i="13" s="1"/>
  <c r="E1273" i="19"/>
  <c r="W85" i="13" s="1"/>
  <c r="E941" i="19"/>
  <c r="F945" i="19" s="1"/>
  <c r="G945" i="19" s="1"/>
  <c r="E947" i="19" s="1"/>
  <c r="W62" i="13" s="1"/>
  <c r="C39" i="11"/>
  <c r="D79" i="5"/>
  <c r="X79" i="5" s="1"/>
  <c r="T75" i="13"/>
  <c r="H1087" i="19" s="1"/>
  <c r="T77" i="13"/>
  <c r="E1143" i="19"/>
  <c r="W77" i="13" s="1"/>
  <c r="T78" i="13"/>
  <c r="E60" i="16"/>
  <c r="T76" i="13"/>
  <c r="H1109" i="19" s="1"/>
  <c r="H1064" i="19"/>
  <c r="U74" i="13"/>
  <c r="F74" i="5" s="1"/>
  <c r="E39" i="16"/>
  <c r="H39" i="16" s="1"/>
  <c r="E48" i="16"/>
  <c r="H48" i="16" s="1"/>
  <c r="E73" i="16"/>
  <c r="D75" i="5"/>
  <c r="X75" i="5" s="1"/>
  <c r="E1087" i="19"/>
  <c r="E1095" i="19" s="1"/>
  <c r="W75" i="13" s="1"/>
  <c r="H1182" i="19"/>
  <c r="F1188" i="19"/>
  <c r="D82" i="5"/>
  <c r="X82" i="5" s="1"/>
  <c r="E1183" i="19"/>
  <c r="E80" i="16"/>
  <c r="H80" i="16" s="1"/>
  <c r="R64" i="13"/>
  <c r="R106" i="13" s="1"/>
  <c r="F32" i="3" s="1"/>
  <c r="T95" i="13"/>
  <c r="C41" i="11"/>
  <c r="T94" i="13"/>
  <c r="U94" i="13" s="1"/>
  <c r="F94" i="5" s="1"/>
  <c r="T98" i="13"/>
  <c r="U98" i="13" s="1"/>
  <c r="T93" i="13"/>
  <c r="U93" i="13" s="1"/>
  <c r="F93" i="5" s="1"/>
  <c r="T97" i="13"/>
  <c r="U97" i="13" s="1"/>
  <c r="F97" i="5" s="1"/>
  <c r="D98" i="5"/>
  <c r="X98" i="5" s="1"/>
  <c r="T92" i="13"/>
  <c r="U92" i="13" s="1"/>
  <c r="F92" i="5" s="1"/>
  <c r="T12" i="13"/>
  <c r="T14" i="13"/>
  <c r="T15" i="13"/>
  <c r="T9" i="13"/>
  <c r="T11" i="13"/>
  <c r="T13" i="13"/>
  <c r="D15" i="5"/>
  <c r="X15" i="5" s="1"/>
  <c r="T10" i="13"/>
  <c r="C32" i="11"/>
  <c r="G235" i="19"/>
  <c r="G236" i="19"/>
  <c r="F232" i="19"/>
  <c r="G232" i="19" s="1"/>
  <c r="F231" i="19"/>
  <c r="G231" i="19" s="1"/>
  <c r="T85" i="13"/>
  <c r="D87" i="5"/>
  <c r="X87" i="5" s="1"/>
  <c r="T83" i="13"/>
  <c r="T84" i="13"/>
  <c r="C40" i="11"/>
  <c r="T86" i="13"/>
  <c r="T82" i="13"/>
  <c r="H52" i="16"/>
  <c r="E55" i="16"/>
  <c r="H55" i="16" s="1"/>
  <c r="W71" i="13"/>
  <c r="AR67" i="13"/>
  <c r="H498" i="19"/>
  <c r="W16" i="13"/>
  <c r="D32" i="11" s="1"/>
  <c r="H8" i="16"/>
  <c r="E14" i="16"/>
  <c r="H14" i="16" s="1"/>
  <c r="H83" i="16"/>
  <c r="F570" i="19"/>
  <c r="F1113" i="19"/>
  <c r="E1116" i="19"/>
  <c r="W76" i="13" s="1"/>
  <c r="X16" i="13"/>
  <c r="AX12" i="13"/>
  <c r="AR12" i="13"/>
  <c r="AU12" i="13"/>
  <c r="W61" i="13"/>
  <c r="E929" i="19"/>
  <c r="W95" i="13" s="1"/>
  <c r="E643" i="19"/>
  <c r="W44" i="13" s="1"/>
  <c r="W50" i="13" s="1"/>
  <c r="G641" i="19"/>
  <c r="G32" i="5"/>
  <c r="E423" i="19"/>
  <c r="U48" i="13"/>
  <c r="H725" i="19"/>
  <c r="T27" i="13"/>
  <c r="C33" i="11"/>
  <c r="T22" i="13"/>
  <c r="D28" i="5"/>
  <c r="X28" i="5" s="1"/>
  <c r="T24" i="13"/>
  <c r="T21" i="13"/>
  <c r="T26" i="13"/>
  <c r="T20" i="13"/>
  <c r="T23" i="13"/>
  <c r="T19" i="13"/>
  <c r="T25" i="13"/>
  <c r="AX108" i="13"/>
  <c r="U34" i="13"/>
  <c r="H455" i="19"/>
  <c r="H1042" i="19"/>
  <c r="U70" i="13"/>
  <c r="H702" i="19"/>
  <c r="G52" i="5"/>
  <c r="E790" i="19"/>
  <c r="U33" i="13"/>
  <c r="H434" i="19"/>
  <c r="T71" i="13"/>
  <c r="H963" i="19"/>
  <c r="U67" i="13"/>
  <c r="H995" i="19"/>
  <c r="U68" i="13"/>
  <c r="E621" i="19"/>
  <c r="G40" i="5"/>
  <c r="H476" i="19"/>
  <c r="G20" i="5"/>
  <c r="E216" i="19"/>
  <c r="E1031" i="19"/>
  <c r="G69" i="5"/>
  <c r="H587" i="19"/>
  <c r="G14" i="5"/>
  <c r="E158" i="19"/>
  <c r="H1015" i="19"/>
  <c r="U69" i="13"/>
  <c r="H677" i="19"/>
  <c r="G34" i="5"/>
  <c r="E465" i="19"/>
  <c r="AC48" i="11"/>
  <c r="R13" i="22"/>
  <c r="H607" i="19"/>
  <c r="U40" i="13"/>
  <c r="H383" i="19"/>
  <c r="U31" i="13"/>
  <c r="T41" i="13"/>
  <c r="H18" i="16"/>
  <c r="E26" i="16"/>
  <c r="H26" i="16" s="1"/>
  <c r="G27" i="5"/>
  <c r="E370" i="19"/>
  <c r="H558" i="19"/>
  <c r="U32" i="13"/>
  <c r="H408" i="19"/>
  <c r="G12" i="5"/>
  <c r="E113" i="19"/>
  <c r="H657" i="19"/>
  <c r="U45" i="13"/>
  <c r="E397" i="19"/>
  <c r="G31" i="5"/>
  <c r="U49" i="13" l="1"/>
  <c r="E752" i="19" s="1"/>
  <c r="T50" i="13"/>
  <c r="U53" i="13"/>
  <c r="U57" i="13" s="1"/>
  <c r="F56" i="5" s="1"/>
  <c r="H767" i="19"/>
  <c r="G591" i="19"/>
  <c r="E593" i="19" s="1"/>
  <c r="W39" i="13" s="1"/>
  <c r="U39" i="13" s="1"/>
  <c r="E594" i="19" s="1"/>
  <c r="E238" i="19"/>
  <c r="W21" i="13" s="1"/>
  <c r="W28" i="13" s="1"/>
  <c r="G28" i="5" s="1"/>
  <c r="AG481" i="19"/>
  <c r="U75" i="13"/>
  <c r="E1096" i="19" s="1"/>
  <c r="AU108" i="13"/>
  <c r="AR108" i="13"/>
  <c r="D64" i="5"/>
  <c r="X64" i="5" s="1"/>
  <c r="C37" i="11"/>
  <c r="C42" i="11" s="1"/>
  <c r="T63" i="13"/>
  <c r="G481" i="19"/>
  <c r="F53" i="5"/>
  <c r="F37" i="5"/>
  <c r="E545" i="19"/>
  <c r="W57" i="13"/>
  <c r="E832" i="19"/>
  <c r="L568" i="19"/>
  <c r="L567" i="19"/>
  <c r="G482" i="19"/>
  <c r="AG480" i="19"/>
  <c r="AG482" i="19"/>
  <c r="T60" i="13"/>
  <c r="H867" i="19" s="1"/>
  <c r="U44" i="13"/>
  <c r="E644" i="19" s="1"/>
  <c r="G15" i="5"/>
  <c r="E1074" i="19"/>
  <c r="H60" i="16"/>
  <c r="E62" i="16"/>
  <c r="H62" i="16" s="1"/>
  <c r="H1157" i="19"/>
  <c r="U78" i="13"/>
  <c r="H1130" i="19"/>
  <c r="U77" i="13"/>
  <c r="E32" i="11"/>
  <c r="G32" i="11" s="1"/>
  <c r="AD20" i="11" s="1"/>
  <c r="T79" i="13"/>
  <c r="T61" i="13"/>
  <c r="H910" i="19" s="1"/>
  <c r="T62" i="13"/>
  <c r="U62" i="13" s="1"/>
  <c r="E85" i="16"/>
  <c r="H85" i="16" s="1"/>
  <c r="U12" i="13"/>
  <c r="H124" i="19"/>
  <c r="H36" i="19"/>
  <c r="U10" i="13"/>
  <c r="H73" i="16"/>
  <c r="E77" i="16"/>
  <c r="H77" i="16" s="1"/>
  <c r="H146" i="19"/>
  <c r="U13" i="13"/>
  <c r="F1194" i="19"/>
  <c r="U1194" i="19" s="1"/>
  <c r="F1191" i="19"/>
  <c r="F1196" i="19"/>
  <c r="H64" i="19"/>
  <c r="U11" i="13"/>
  <c r="T99" i="13"/>
  <c r="H1310" i="19" s="1"/>
  <c r="H13" i="19"/>
  <c r="T16" i="13"/>
  <c r="U9" i="13"/>
  <c r="U85" i="13"/>
  <c r="H1267" i="19"/>
  <c r="H1183" i="19"/>
  <c r="T87" i="13"/>
  <c r="W79" i="13"/>
  <c r="U76" i="13"/>
  <c r="U86" i="13"/>
  <c r="F86" i="5" s="1"/>
  <c r="H1287" i="19"/>
  <c r="F36" i="5"/>
  <c r="E506" i="19"/>
  <c r="U84" i="13"/>
  <c r="H1243" i="19"/>
  <c r="BF33" i="13"/>
  <c r="AC47" i="11" s="1"/>
  <c r="AS67" i="13"/>
  <c r="H1216" i="19"/>
  <c r="U83" i="13"/>
  <c r="D38" i="11"/>
  <c r="E38" i="11" s="1"/>
  <c r="G38" i="11" s="1"/>
  <c r="AD26" i="11" s="1"/>
  <c r="G71" i="5"/>
  <c r="D35" i="11"/>
  <c r="E35" i="11" s="1"/>
  <c r="G35" i="11" s="1"/>
  <c r="AD23" i="11" s="1"/>
  <c r="G49" i="5"/>
  <c r="W64" i="13"/>
  <c r="AV12" i="13"/>
  <c r="AU107" i="13"/>
  <c r="AV107" i="13" s="1"/>
  <c r="BG20" i="13"/>
  <c r="BF20" i="13"/>
  <c r="AC34" i="11" s="1"/>
  <c r="AS12" i="13"/>
  <c r="AR107" i="13"/>
  <c r="AS107" i="13" s="1"/>
  <c r="BH20" i="13"/>
  <c r="AX107" i="13"/>
  <c r="AY107" i="13" s="1"/>
  <c r="AY12" i="13"/>
  <c r="G1319" i="19"/>
  <c r="W99" i="13"/>
  <c r="U95" i="13"/>
  <c r="F40" i="5"/>
  <c r="E619" i="19"/>
  <c r="E1049" i="19"/>
  <c r="F70" i="5"/>
  <c r="H337" i="19"/>
  <c r="U26" i="13"/>
  <c r="E442" i="19"/>
  <c r="F33" i="5"/>
  <c r="H227" i="19"/>
  <c r="H358" i="19"/>
  <c r="U27" i="13"/>
  <c r="E664" i="19"/>
  <c r="F45" i="5"/>
  <c r="F31" i="5"/>
  <c r="E395" i="19"/>
  <c r="E689" i="19"/>
  <c r="F46" i="5"/>
  <c r="H295" i="19"/>
  <c r="U24" i="13"/>
  <c r="U23" i="13"/>
  <c r="H273" i="19"/>
  <c r="E1002" i="19"/>
  <c r="F68" i="5"/>
  <c r="E463" i="19"/>
  <c r="F34" i="5"/>
  <c r="E1029" i="19"/>
  <c r="F69" i="5"/>
  <c r="H317" i="19"/>
  <c r="U25" i="13"/>
  <c r="H252" i="19"/>
  <c r="U22" i="13"/>
  <c r="F32" i="5"/>
  <c r="E421" i="19"/>
  <c r="E982" i="19"/>
  <c r="U71" i="13"/>
  <c r="F71" i="5" s="1"/>
  <c r="F67" i="5"/>
  <c r="U19" i="13"/>
  <c r="T28" i="13"/>
  <c r="H171" i="19"/>
  <c r="E732" i="19"/>
  <c r="F48" i="5"/>
  <c r="E712" i="19"/>
  <c r="F47" i="5"/>
  <c r="H194" i="19"/>
  <c r="U20" i="13"/>
  <c r="F39" i="5" l="1"/>
  <c r="U60" i="13"/>
  <c r="F59" i="5" s="1"/>
  <c r="H941" i="19"/>
  <c r="F75" i="5"/>
  <c r="F52" i="5"/>
  <c r="E788" i="19"/>
  <c r="F44" i="5"/>
  <c r="U21" i="13"/>
  <c r="U28" i="13" s="1"/>
  <c r="D33" i="11"/>
  <c r="E33" i="11" s="1"/>
  <c r="G33" i="11" s="1"/>
  <c r="AD21" i="11" s="1"/>
  <c r="E484" i="19"/>
  <c r="W35" i="13" s="1"/>
  <c r="U35" i="13" s="1"/>
  <c r="E485" i="19" s="1"/>
  <c r="U61" i="13"/>
  <c r="G56" i="5"/>
  <c r="D36" i="11"/>
  <c r="E36" i="11" s="1"/>
  <c r="G36" i="11" s="1"/>
  <c r="AD24" i="11" s="1"/>
  <c r="G570" i="19"/>
  <c r="E573" i="19" s="1"/>
  <c r="W38" i="13" s="1"/>
  <c r="U38" i="13" s="1"/>
  <c r="E574" i="19" s="1"/>
  <c r="U50" i="13"/>
  <c r="F49" i="5" s="1"/>
  <c r="F77" i="5"/>
  <c r="E1144" i="19"/>
  <c r="F78" i="5"/>
  <c r="E1168" i="19"/>
  <c r="T64" i="13"/>
  <c r="E51" i="19"/>
  <c r="F11" i="5"/>
  <c r="F10" i="5"/>
  <c r="E23" i="19"/>
  <c r="U16" i="13"/>
  <c r="F15" i="5" s="1"/>
  <c r="F13" i="5"/>
  <c r="E133" i="19"/>
  <c r="F14" i="5"/>
  <c r="E156" i="19"/>
  <c r="F12" i="5"/>
  <c r="E111" i="19"/>
  <c r="E948" i="19"/>
  <c r="F63" i="5"/>
  <c r="E1230" i="19"/>
  <c r="F83" i="5"/>
  <c r="G67" i="5"/>
  <c r="E984" i="19"/>
  <c r="E1117" i="19"/>
  <c r="F76" i="5"/>
  <c r="U79" i="13"/>
  <c r="F79" i="5" s="1"/>
  <c r="D39" i="11"/>
  <c r="E39" i="11" s="1"/>
  <c r="G39" i="11" s="1"/>
  <c r="AD27" i="11" s="1"/>
  <c r="G79" i="5"/>
  <c r="F85" i="5"/>
  <c r="E1274" i="19"/>
  <c r="E1254" i="19"/>
  <c r="F84" i="5"/>
  <c r="E1319" i="19"/>
  <c r="F1324" i="19"/>
  <c r="L1321" i="19"/>
  <c r="E1324" i="19" s="1"/>
  <c r="F10" i="11"/>
  <c r="P6" i="5"/>
  <c r="AW107" i="13"/>
  <c r="AW112" i="13" s="1"/>
  <c r="F95" i="5"/>
  <c r="U99" i="13"/>
  <c r="D41" i="11"/>
  <c r="E41" i="11" s="1"/>
  <c r="G41" i="11" s="1"/>
  <c r="AD29" i="11" s="1"/>
  <c r="G98" i="5"/>
  <c r="E135" i="19"/>
  <c r="G13" i="5"/>
  <c r="H10" i="11"/>
  <c r="V6" i="5"/>
  <c r="AZ107" i="13"/>
  <c r="AZ112" i="13" s="1"/>
  <c r="F61" i="5"/>
  <c r="E928" i="19"/>
  <c r="D37" i="11"/>
  <c r="G64" i="5"/>
  <c r="H6" i="19"/>
  <c r="AT107" i="13"/>
  <c r="D10" i="11"/>
  <c r="G44" i="11" s="1"/>
  <c r="E282" i="19"/>
  <c r="F23" i="5"/>
  <c r="E181" i="19"/>
  <c r="F18" i="5"/>
  <c r="E260" i="19"/>
  <c r="F22" i="5"/>
  <c r="E304" i="19"/>
  <c r="F24" i="5"/>
  <c r="E345" i="19"/>
  <c r="F26" i="5"/>
  <c r="E214" i="19"/>
  <c r="F20" i="5"/>
  <c r="F25" i="5"/>
  <c r="E324" i="19"/>
  <c r="F27" i="5"/>
  <c r="E368" i="19"/>
  <c r="F21" i="5" l="1"/>
  <c r="E239" i="19"/>
  <c r="E897" i="19"/>
  <c r="U64" i="13"/>
  <c r="F64" i="5" s="1"/>
  <c r="F35" i="5"/>
  <c r="F38" i="5"/>
  <c r="W41" i="13"/>
  <c r="G41" i="5" s="1"/>
  <c r="U41" i="13"/>
  <c r="F41" i="5" s="1"/>
  <c r="AB1194" i="19"/>
  <c r="AA1194" i="19"/>
  <c r="AC1194" i="19"/>
  <c r="AV112" i="13"/>
  <c r="AV115" i="13"/>
  <c r="E1325" i="19"/>
  <c r="F98" i="5"/>
  <c r="AY112" i="13"/>
  <c r="AY115" i="13"/>
  <c r="E37" i="11"/>
  <c r="G37" i="11" s="1"/>
  <c r="F28" i="5"/>
  <c r="D34" i="11" l="1"/>
  <c r="E34" i="11" s="1"/>
  <c r="G34" i="11" s="1"/>
  <c r="AD22" i="11" s="1"/>
  <c r="G1194" i="19"/>
  <c r="U1191" i="19" s="1"/>
  <c r="AG1194" i="19"/>
  <c r="H8" i="11"/>
  <c r="V4" i="5"/>
  <c r="AD25" i="11"/>
  <c r="F8" i="11"/>
  <c r="P4" i="5"/>
  <c r="U1192" i="19" l="1"/>
  <c r="AA1191" i="19"/>
  <c r="AB1191" i="19"/>
  <c r="AC1191" i="19"/>
  <c r="AG1191" i="19" l="1"/>
  <c r="G1191" i="19"/>
  <c r="E1202" i="19" s="1"/>
  <c r="W82" i="13" s="1"/>
  <c r="W87" i="13" l="1"/>
  <c r="U82" i="13"/>
  <c r="F82" i="5" l="1"/>
  <c r="U87" i="13"/>
  <c r="E1203" i="19"/>
  <c r="G87" i="5"/>
  <c r="D40" i="11"/>
  <c r="F87" i="5" l="1"/>
  <c r="U108" i="13"/>
  <c r="E40" i="11"/>
  <c r="G40" i="11" s="1"/>
  <c r="D42" i="11"/>
  <c r="AR109" i="13" s="1"/>
  <c r="AD28" i="11" l="1"/>
  <c r="G42" i="11"/>
  <c r="D9" i="11" l="1"/>
  <c r="AR110" i="13"/>
  <c r="AS110" i="13" s="1"/>
  <c r="AT110" i="13" s="1"/>
  <c r="AT112" i="13" s="1"/>
  <c r="H5" i="19"/>
  <c r="AS112" i="13" l="1"/>
  <c r="AS115" i="13"/>
  <c r="H7" i="19"/>
  <c r="G45" i="11"/>
  <c r="M7" i="11"/>
  <c r="H4" i="19" l="1"/>
  <c r="D8" i="11"/>
  <c r="G43"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Oddbjørn Dahlstrøm</author>
  </authors>
  <commentList>
    <comment ref="R25" authorId="0" shapeId="0" xr:uid="{00000000-0006-0000-0400-000001000000}">
      <text>
        <r>
          <rPr>
            <sz val="9"/>
            <color indexed="81"/>
            <rFont val="Tahoma"/>
            <family val="2"/>
          </rPr>
          <t>Må være slik for å få manuell filtrering ved Bespokt til å fungere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Tim Bevan</author>
  </authors>
  <commentList>
    <comment ref="B6" authorId="0" shapeId="0" xr:uid="{00000000-0006-0000-0700-000001000000}">
      <text>
        <r>
          <rPr>
            <sz val="8"/>
            <color indexed="81"/>
            <rFont val="Tahoma"/>
            <family val="2"/>
          </rPr>
          <t xml:space="preserve">This may either be a number or a unique company/organisational  system reference.
</t>
        </r>
      </text>
    </comment>
    <comment ref="C6" authorId="0" shapeId="0" xr:uid="{00000000-0006-0000-0700-000002000000}">
      <text>
        <r>
          <rPr>
            <sz val="8"/>
            <color indexed="81"/>
            <rFont val="Tahoma"/>
            <family val="2"/>
          </rPr>
          <t>Insert a full,  complete and identifiable reference to all information which is being used to verify a building's compliance with  BREEAM criteria. (Refer to appendix G of the BREEAM 2011 Scheme Document for additional guidance on BREEAM's evidential requirements).</t>
        </r>
      </text>
    </comment>
    <comment ref="D6" authorId="0" shapeId="0" xr:uid="{00000000-0006-0000-0700-000003000000}">
      <text>
        <r>
          <rPr>
            <sz val="8"/>
            <color indexed="81"/>
            <rFont val="Tahoma"/>
            <family val="2"/>
          </rPr>
          <t>Select the BREEAM issue ID that the corresponding reference relates to.</t>
        </r>
        <r>
          <rPr>
            <sz val="8"/>
            <color indexed="81"/>
            <rFont val="Tahoma"/>
            <family val="2"/>
          </rPr>
          <t xml:space="preserve">
</t>
        </r>
      </text>
    </comment>
    <comment ref="E6" authorId="0" shapeId="0" xr:uid="{00000000-0006-0000-0700-000004000000}">
      <text>
        <r>
          <rPr>
            <sz val="8"/>
            <color indexed="81"/>
            <rFont val="Tahoma"/>
            <family val="2"/>
          </rPr>
          <t xml:space="preserve">For the corresponding issue ID, insert the BREEAM criteria number that the evidence referenced demonstrates compliance with and, if/where relevant, the compliance note title that the reference supports/confirms. 
</t>
        </r>
      </text>
    </comment>
    <comment ref="F6" authorId="0" shapeId="0" xr:uid="{00000000-0006-0000-0700-000005000000}">
      <text>
        <r>
          <rPr>
            <sz val="8"/>
            <color indexed="81"/>
            <rFont val="Tahoma"/>
            <family val="2"/>
          </rPr>
          <t xml:space="preserve">If required, insert any relevant notes or comments concerning the evidence referenced necessary for the purpose of BRE's information and quality assurance checks.
</t>
        </r>
      </text>
    </comment>
  </commentList>
</comments>
</file>

<file path=xl/sharedStrings.xml><?xml version="1.0" encoding="utf-8"?>
<sst xmlns="http://schemas.openxmlformats.org/spreadsheetml/2006/main" count="6610" uniqueCount="1296">
  <si>
    <t xml:space="preserve"> </t>
  </si>
  <si>
    <t>Construction</t>
  </si>
  <si>
    <t>Current Version</t>
  </si>
  <si>
    <t>Previous Versions</t>
  </si>
  <si>
    <t>Mat01</t>
  </si>
  <si>
    <t>Version</t>
  </si>
  <si>
    <t>Release Date</t>
  </si>
  <si>
    <t>Description of changes/additions made to the BREEAM Assessment Scoring and Reporting Tool</t>
  </si>
  <si>
    <t>Copyright</t>
  </si>
  <si>
    <t xml:space="preserve">Copyright exists on the BREEAM logo and this may not be used or reproduced for any purpose without the prior written consent of the BRE Global Ltd.
</t>
  </si>
  <si>
    <t>Date</t>
  </si>
  <si>
    <t>Residential</t>
  </si>
  <si>
    <t>Building contains multiple tenants/departments/function areas</t>
  </si>
  <si>
    <t>MANAGEMENT</t>
  </si>
  <si>
    <t>Yes</t>
  </si>
  <si>
    <t>No</t>
  </si>
  <si>
    <t>N/A</t>
  </si>
  <si>
    <t>No. of BREEAM credits available</t>
  </si>
  <si>
    <t>BRE Assessment reference no.</t>
  </si>
  <si>
    <t>Client name</t>
  </si>
  <si>
    <t>Building end user/occupier</t>
  </si>
  <si>
    <t>Assessor name</t>
  </si>
  <si>
    <t>Building details</t>
  </si>
  <si>
    <t>Building name</t>
  </si>
  <si>
    <t>Building address</t>
  </si>
  <si>
    <t>Building type (sub-group)</t>
  </si>
  <si>
    <t>Project type</t>
  </si>
  <si>
    <t>Assessment stage</t>
  </si>
  <si>
    <t>Project team details</t>
  </si>
  <si>
    <t>Developer</t>
  </si>
  <si>
    <t>Principal contractor</t>
  </si>
  <si>
    <t>Project management</t>
  </si>
  <si>
    <t>Office</t>
  </si>
  <si>
    <t>Industrial</t>
  </si>
  <si>
    <t>Retail</t>
  </si>
  <si>
    <t>Education</t>
  </si>
  <si>
    <t>Post Construction (Final, as-built)</t>
  </si>
  <si>
    <t xml:space="preserve">New Construction (shell only) </t>
  </si>
  <si>
    <t>Major Refurbishment (shell only)</t>
  </si>
  <si>
    <t>New Construction (fully fitted)</t>
  </si>
  <si>
    <t>Major Refurbishment (fully fitted)</t>
  </si>
  <si>
    <t>No laboratory</t>
  </si>
  <si>
    <t>Cat Level 2</t>
  </si>
  <si>
    <t>Cat Level 3</t>
  </si>
  <si>
    <t>Cat Level 1 only</t>
  </si>
  <si>
    <t>Assessor organisation</t>
  </si>
  <si>
    <t>New Construction</t>
  </si>
  <si>
    <t>Credits</t>
  </si>
  <si>
    <t>Hea01</t>
  </si>
  <si>
    <t>ENERGY</t>
  </si>
  <si>
    <t>HEALTH &amp; WELLBEING</t>
  </si>
  <si>
    <t>Option not applicable to building type</t>
  </si>
  <si>
    <t>General information</t>
  </si>
  <si>
    <t>BREEAM assessor declaration of assessment accuracy and quality</t>
  </si>
  <si>
    <t>Minimum standards level achieved</t>
  </si>
  <si>
    <t>Minimum standard(s) level</t>
  </si>
  <si>
    <t>Building type (main description)</t>
  </si>
  <si>
    <t>TRANSPORT</t>
  </si>
  <si>
    <t>WATER</t>
  </si>
  <si>
    <t>MATERIALS</t>
  </si>
  <si>
    <t>WASTE</t>
  </si>
  <si>
    <t>LAND USE &amp; ECOLOGY</t>
  </si>
  <si>
    <t>POLLUTION</t>
  </si>
  <si>
    <t>Water</t>
  </si>
  <si>
    <t>Overall Building Performance</t>
  </si>
  <si>
    <t>Building Performance by Environment Section</t>
  </si>
  <si>
    <t>Management</t>
  </si>
  <si>
    <t>% credits achieved</t>
  </si>
  <si>
    <t>No. credits available</t>
  </si>
  <si>
    <t>Health &amp; Wellbeing</t>
  </si>
  <si>
    <t>Energy</t>
  </si>
  <si>
    <t>Transport</t>
  </si>
  <si>
    <t>Materials</t>
  </si>
  <si>
    <t>Waste</t>
  </si>
  <si>
    <t>Land Use &amp; Ecology</t>
  </si>
  <si>
    <t>Pollution</t>
  </si>
  <si>
    <t>Innovation</t>
  </si>
  <si>
    <t>Unclassified</t>
  </si>
  <si>
    <t>Environmental Section</t>
  </si>
  <si>
    <t>Pass</t>
  </si>
  <si>
    <t>Good</t>
  </si>
  <si>
    <t>Very Good</t>
  </si>
  <si>
    <t>Excellent</t>
  </si>
  <si>
    <t>Outstanding</t>
  </si>
  <si>
    <t>Min. standards level achieved</t>
  </si>
  <si>
    <t>Available contribution to overall score</t>
  </si>
  <si>
    <t>Total contribution to overall building score</t>
  </si>
  <si>
    <t>Pre-assessment</t>
  </si>
  <si>
    <t>Total indicative environmental section performance</t>
  </si>
  <si>
    <t>Indicative BREEAM rating</t>
  </si>
  <si>
    <t>Indicative total score</t>
  </si>
  <si>
    <t>Navn</t>
  </si>
  <si>
    <t>Issues in BREEAM-NOR v. 1.1</t>
  </si>
  <si>
    <t>P</t>
  </si>
  <si>
    <t>G</t>
  </si>
  <si>
    <t>VG</t>
  </si>
  <si>
    <t>O</t>
  </si>
  <si>
    <t>Man 01</t>
  </si>
  <si>
    <t>Man 02</t>
  </si>
  <si>
    <t>Man 03</t>
  </si>
  <si>
    <t>Man 04</t>
  </si>
  <si>
    <t>Man 05</t>
  </si>
  <si>
    <t>Man 06</t>
  </si>
  <si>
    <t>Man 07</t>
  </si>
  <si>
    <t>Kode</t>
  </si>
  <si>
    <t>Valgt bygg</t>
  </si>
  <si>
    <t>Available credits</t>
  </si>
  <si>
    <t>Contribution to score</t>
  </si>
  <si>
    <t>Total performance management</t>
  </si>
  <si>
    <t>Total performance health &amp; wellbeing</t>
  </si>
  <si>
    <t>Total performance energy</t>
  </si>
  <si>
    <t>Total performance transport</t>
  </si>
  <si>
    <t>Total performance water</t>
  </si>
  <si>
    <t>Total performance materials</t>
  </si>
  <si>
    <t>Total performance waste</t>
  </si>
  <si>
    <t>Total performance land use and ecology</t>
  </si>
  <si>
    <t>Total performance pollution</t>
  </si>
  <si>
    <t>Hea 02 Indoor air quality</t>
  </si>
  <si>
    <t>Hea 03 Thermal comfort</t>
  </si>
  <si>
    <t>Hea 04 Microbial contamination</t>
  </si>
  <si>
    <t>Hea 06 Safe access</t>
  </si>
  <si>
    <t>Hea 07 Natural Hazards</t>
  </si>
  <si>
    <t>Hea 09 Moisture protection</t>
  </si>
  <si>
    <t>Hea 01 Visual comfort</t>
  </si>
  <si>
    <t>Hea 08 Private space</t>
  </si>
  <si>
    <t>Hea 01</t>
  </si>
  <si>
    <t>Hea 02</t>
  </si>
  <si>
    <t>Hea 03</t>
  </si>
  <si>
    <t>Hea 04</t>
  </si>
  <si>
    <t>Hea 05</t>
  </si>
  <si>
    <t>Hea 06</t>
  </si>
  <si>
    <t>Hea 07</t>
  </si>
  <si>
    <t>Hea 08</t>
  </si>
  <si>
    <t>Hea 09</t>
  </si>
  <si>
    <t>Hea</t>
  </si>
  <si>
    <t>Hea 05 Acoustic performance</t>
  </si>
  <si>
    <t>Ene 01 Energy efficiency</t>
  </si>
  <si>
    <t>Ene 03 External lighting</t>
  </si>
  <si>
    <t>Ene 04 Low and zero carbon technologies</t>
  </si>
  <si>
    <t>Ene 05 Energy efficient cold storage</t>
  </si>
  <si>
    <t>Ene 06 Energy efficient transportation systems</t>
  </si>
  <si>
    <t>Ene 07 Energy Efficient Laboratory Systems</t>
  </si>
  <si>
    <t>Ene 08 Energy efficient equipment</t>
  </si>
  <si>
    <t>Ene 09 Drying space</t>
  </si>
  <si>
    <t>Ene 23 Energy performance of building structure and installations</t>
  </si>
  <si>
    <t>Ene 02 Energy monitoring</t>
  </si>
  <si>
    <t>Ene 01</t>
  </si>
  <si>
    <t>Ene 02</t>
  </si>
  <si>
    <t>Ene 03</t>
  </si>
  <si>
    <t>Ene 04</t>
  </si>
  <si>
    <t>Ene 05</t>
  </si>
  <si>
    <t>Ene 06</t>
  </si>
  <si>
    <t>Ene 07</t>
  </si>
  <si>
    <t>Ene 08</t>
  </si>
  <si>
    <t>Ene 09</t>
  </si>
  <si>
    <t>Ene 23</t>
  </si>
  <si>
    <t>Tra 01 Public transport accessibility</t>
  </si>
  <si>
    <t>Tra 02 Proximity to amenities</t>
  </si>
  <si>
    <t>Tra 04 Maximum car parking capacity</t>
  </si>
  <si>
    <t>Tra 03 Alternative modes of transport</t>
  </si>
  <si>
    <t>Tra 05 Travel plan</t>
  </si>
  <si>
    <t>Tra 01</t>
  </si>
  <si>
    <t>Tra 02</t>
  </si>
  <si>
    <t>Tra 03</t>
  </si>
  <si>
    <t>Tra 04</t>
  </si>
  <si>
    <t>Tra 05</t>
  </si>
  <si>
    <t>Wat 01 Water consumption</t>
  </si>
  <si>
    <t>Wat 02 Water monitoring</t>
  </si>
  <si>
    <t>Wat 03 Water leak detection and prevention</t>
  </si>
  <si>
    <t>Wat 04 Water efficient equipment</t>
  </si>
  <si>
    <t>Mat 01 Life cycle impacts</t>
  </si>
  <si>
    <t>Mat 03 Responsible sourcing of materials</t>
  </si>
  <si>
    <t>Mat 05 Designing for robustness</t>
  </si>
  <si>
    <t>Wst 01 Construction waste management</t>
  </si>
  <si>
    <t>LE 01 Site selection</t>
  </si>
  <si>
    <t>LE 02 Ecological value of site and protection of ecological features</t>
  </si>
  <si>
    <t>LE 04 Enhancing site ecology</t>
  </si>
  <si>
    <t>LE 05 Long term impact on biodiversity</t>
  </si>
  <si>
    <t>POL 01 Impacts of refrigerants</t>
  </si>
  <si>
    <t>POL 02 Nox emissions</t>
  </si>
  <si>
    <t>POL 03 Surface water run-off</t>
  </si>
  <si>
    <t>POL 04 Reduction of night time light pollution</t>
  </si>
  <si>
    <t>Wst 03 Operational waste</t>
  </si>
  <si>
    <t>LE 06 Building footprint</t>
  </si>
  <si>
    <t>POL 05 Noise attenuation</t>
  </si>
  <si>
    <t>Wat 01</t>
  </si>
  <si>
    <t>Wat 02</t>
  </si>
  <si>
    <t>Wat 03</t>
  </si>
  <si>
    <t>Wat 04</t>
  </si>
  <si>
    <t>Mat 01</t>
  </si>
  <si>
    <t>Mat 03</t>
  </si>
  <si>
    <t>Mat 05</t>
  </si>
  <si>
    <t>Mat 06</t>
  </si>
  <si>
    <t>Wst 01</t>
  </si>
  <si>
    <t>Wst 02</t>
  </si>
  <si>
    <t>Wst 03</t>
  </si>
  <si>
    <t>Wst 04</t>
  </si>
  <si>
    <t>LE 01</t>
  </si>
  <si>
    <t>LE 02</t>
  </si>
  <si>
    <t>LE 04</t>
  </si>
  <si>
    <t>LE 05</t>
  </si>
  <si>
    <t>LE 06</t>
  </si>
  <si>
    <t>POL 01</t>
  </si>
  <si>
    <t>POL 02</t>
  </si>
  <si>
    <t>POL 03</t>
  </si>
  <si>
    <t>POL 04</t>
  </si>
  <si>
    <t>POL 05</t>
  </si>
  <si>
    <t>Inn 01</t>
  </si>
  <si>
    <t>Inn 02</t>
  </si>
  <si>
    <t>Inn 03</t>
  </si>
  <si>
    <t>Inn 04</t>
  </si>
  <si>
    <t>Inn 05</t>
  </si>
  <si>
    <t>Inn 06</t>
  </si>
  <si>
    <t>Inn 07</t>
  </si>
  <si>
    <t>Assessor registration number</t>
  </si>
  <si>
    <t>Date for Pre-Assessment Estimation</t>
  </si>
  <si>
    <t>Date for design phase</t>
  </si>
  <si>
    <t>Completion Date</t>
  </si>
  <si>
    <t>Disclaimer</t>
  </si>
  <si>
    <t>Credits Achieved</t>
  </si>
  <si>
    <t>Weighting</t>
  </si>
  <si>
    <t>Man</t>
  </si>
  <si>
    <t>Ene</t>
  </si>
  <si>
    <t>Tra</t>
  </si>
  <si>
    <t>Wat</t>
  </si>
  <si>
    <t>Mat</t>
  </si>
  <si>
    <t>Wst</t>
  </si>
  <si>
    <t>LE</t>
  </si>
  <si>
    <t>Pol</t>
  </si>
  <si>
    <t>Inn</t>
  </si>
  <si>
    <t>Section score available</t>
  </si>
  <si>
    <t>Sum</t>
  </si>
  <si>
    <t>Wst 04 Speculative floor and ceiling finishes</t>
  </si>
  <si>
    <t>BREEAM-NOR 2016 Issue</t>
  </si>
  <si>
    <t>Initial target setting</t>
  </si>
  <si>
    <t>Exemplary Level (Innovation)</t>
  </si>
  <si>
    <t>N</t>
  </si>
  <si>
    <t>I</t>
  </si>
  <si>
    <t>OK</t>
  </si>
  <si>
    <t>Design phase progression</t>
  </si>
  <si>
    <t>Construction phase progression</t>
  </si>
  <si>
    <t>General comments</t>
  </si>
  <si>
    <t>Total credits available BREEAM-NOR 2016</t>
  </si>
  <si>
    <t>Inn 08</t>
  </si>
  <si>
    <t>Land &amp; Ecology</t>
  </si>
  <si>
    <t>BREEAM innovation credits</t>
  </si>
  <si>
    <t>Emner med innovation credits</t>
  </si>
  <si>
    <t xml:space="preserve">Original no. of BREEAM credits available </t>
  </si>
  <si>
    <t>Div filter</t>
  </si>
  <si>
    <t>User credits - INITIAL</t>
  </si>
  <si>
    <t>User credits - DESIGN</t>
  </si>
  <si>
    <t>User credits - CONSTRUCTION</t>
  </si>
  <si>
    <t>Spesialtilfeller</t>
  </si>
  <si>
    <t>Yes/No</t>
  </si>
  <si>
    <t>-</t>
  </si>
  <si>
    <t>E</t>
  </si>
  <si>
    <t>Non residential</t>
  </si>
  <si>
    <t>Level</t>
  </si>
  <si>
    <t>Samlet minimumstandard</t>
  </si>
  <si>
    <t>Samlet sum tilgjengelig</t>
  </si>
  <si>
    <t>Samlet sum oppnådd</t>
  </si>
  <si>
    <t>&gt;=</t>
  </si>
  <si>
    <t>&lt;</t>
  </si>
  <si>
    <t>Samlet prosent</t>
  </si>
  <si>
    <t>Skal minimumstandard styre?</t>
  </si>
  <si>
    <t>1=ja, 0=nei</t>
  </si>
  <si>
    <t>The rating has been limited to the min. standards level achieved</t>
  </si>
  <si>
    <t>Tilgjengelig poeng</t>
  </si>
  <si>
    <t>Inn 05 - Mat 01 Life cycle impacts</t>
  </si>
  <si>
    <t>Inn 06 - Mat 03 Responsible sourcing of materials</t>
  </si>
  <si>
    <t>Hvor mange poeng skal bort?</t>
  </si>
  <si>
    <t>Felter merket mørk grønn omfattes av filtreringen</t>
  </si>
  <si>
    <t>Ene 02a</t>
  </si>
  <si>
    <t>Inn 09</t>
  </si>
  <si>
    <t>EXEMPLARY LEVEL AND INNOVATION (max 10 credits)</t>
  </si>
  <si>
    <t>Velge farge på status</t>
  </si>
  <si>
    <t>IT</t>
  </si>
  <si>
    <t>DP</t>
  </si>
  <si>
    <t>CP</t>
  </si>
  <si>
    <t>Subject</t>
  </si>
  <si>
    <t>Stat.</t>
  </si>
  <si>
    <t>Comments</t>
  </si>
  <si>
    <t>Hea 01 Visual comfort - Criteria 1</t>
  </si>
  <si>
    <t>Mat 01 Life cycle impacts  - Criteria 1</t>
  </si>
  <si>
    <t>hea 2. no lab - 2 p, cat 1 - 1 p, cat 2og 3 tot 7 poeng</t>
  </si>
  <si>
    <t>ikke noe å si for poengfordeling.  Ikke gjør noe med denne</t>
  </si>
  <si>
    <t>Architect (ARK)</t>
  </si>
  <si>
    <t>Samlet poeng</t>
  </si>
  <si>
    <t xml:space="preserve">Pol 1 poeng går ut hvis det er industri som hverkan har treated operational area OG kontor. Dvs det må være nei på BEGGE spørsmål får å ta ut Pol 1 poeng. </t>
  </si>
  <si>
    <t>Pol 1 poeng går ut hvis det er industri som hverkan har treated operational area OG kontor. Dvs det må være nei på BEGGE spørsmål får å ta ut Pol 1 poeng. Hea 03 går ut hvis industri ikke har kontor</t>
  </si>
  <si>
    <t>OK. Dette spørsmålet kan vel egentlig utgå, er lovkrav i Norge</t>
  </si>
  <si>
    <t>UTGÅR</t>
  </si>
  <si>
    <t>OK. non residential only.</t>
  </si>
  <si>
    <t>2: Bespoke. Staff plus reasonably constant stream of visitors</t>
  </si>
  <si>
    <t>6: Residential</t>
  </si>
  <si>
    <t>1: Office &amp; Industrial. Staff &amp; occasional business visitors</t>
  </si>
  <si>
    <t>3: Retail and education. Staff with large numbers of visitors</t>
  </si>
  <si>
    <t>4: Bespoke. Rural building with few visitors</t>
  </si>
  <si>
    <t>5: Bespoke. Rural building with large numbers of visitors</t>
  </si>
  <si>
    <t>7: Bespoke. Transport Hub</t>
  </si>
  <si>
    <t>OK. type 3 retail and education, type 6 ta bort dwellings TA UT BESPOKE? Ta ut denne, da poeng er bestemt av bygningstype</t>
  </si>
  <si>
    <t>This information will determine, in part, the number of credits available for BREEAM issue Hea02 when the criteria have been finalised for laboratory facilities.</t>
  </si>
  <si>
    <t>The fields marked with a * are mandatory and must be completed/defined prior to beginning the pre-assessment to ensure an accurate indicative score and BREEAM rating. Note: without this information the pre-assessment tool cannot determine the applicable BREEAM issues and number of credits and data entry will not be possible for the building assessment.</t>
  </si>
  <si>
    <t>Initial</t>
  </si>
  <si>
    <t>Design</t>
  </si>
  <si>
    <t>Søke navn</t>
  </si>
  <si>
    <t>Score</t>
  </si>
  <si>
    <t>No. credits available original</t>
  </si>
  <si>
    <t>No. Credits not available (filter)</t>
  </si>
  <si>
    <t>Commercial/industrial refrigeration and cold storage systems (Ene 05)</t>
  </si>
  <si>
    <t>Does the building contain  lifts, escalators or moving walks? (Ene 06)</t>
  </si>
  <si>
    <t>Laboratory function/area and size category (Ene 07, Hea 02)</t>
  </si>
  <si>
    <t>Laboratory containment level (Ene 07, Hea 02)</t>
  </si>
  <si>
    <t>Fume cupboard(s) and/or other containment devices (Ene 07, Hea 02,? )</t>
  </si>
  <si>
    <t>Does the assessed development contain external site access areas (e.g. vehicle access and parking areas)? (Hea 06)</t>
  </si>
  <si>
    <t>Are there any risks associated with natural hazards (other than flooding) for the assessed development? (Hea 07)</t>
  </si>
  <si>
    <t>What is the building type category (for the purpose of the Transport  section)? (Tra 1)</t>
  </si>
  <si>
    <t>Internal or external planting and/or soft landscaping (Wat 04)</t>
  </si>
  <si>
    <t>Vehicle Wash System (Wat 04)</t>
  </si>
  <si>
    <t>Laboratory present: &lt;10% of building's BRA</t>
  </si>
  <si>
    <t>Laboratory present: ≥10% - &lt;25% of building's BRA</t>
  </si>
  <si>
    <t>Laboratory present: ≥25% of building's BRA</t>
  </si>
  <si>
    <t>BREEAM-NOR 2016 New Construction Pre-Assessment Estimator: Building Performance</t>
  </si>
  <si>
    <t>(G)</t>
  </si>
  <si>
    <t>(Y)</t>
  </si>
  <si>
    <t>(R)</t>
  </si>
  <si>
    <t>(G) - Green - OK</t>
  </si>
  <si>
    <t>(Y) - Yellow - Unsure</t>
  </si>
  <si>
    <t>(R) - Red - Not OK</t>
  </si>
  <si>
    <t>Respon-sible</t>
  </si>
  <si>
    <t>Available</t>
  </si>
  <si>
    <r>
      <t>Gross floor area, BTA - m</t>
    </r>
    <r>
      <rPr>
        <vertAlign val="superscript"/>
        <sz val="11"/>
        <color indexed="9"/>
        <rFont val="Calibri"/>
        <family val="2"/>
      </rPr>
      <t>2</t>
    </r>
  </si>
  <si>
    <r>
      <t>Usable floor area, BRA - m</t>
    </r>
    <r>
      <rPr>
        <vertAlign val="superscript"/>
        <sz val="11"/>
        <color indexed="9"/>
        <rFont val="Calibri"/>
        <family val="2"/>
      </rPr>
      <t>2</t>
    </r>
  </si>
  <si>
    <r>
      <t>Saleable usable floor area, BRAs - m</t>
    </r>
    <r>
      <rPr>
        <vertAlign val="superscript"/>
        <sz val="11"/>
        <color indexed="9"/>
        <rFont val="Calibri"/>
        <family val="2"/>
      </rPr>
      <t>2</t>
    </r>
  </si>
  <si>
    <t>DRAFT</t>
  </si>
  <si>
    <t>Wst 02 Recycled aggregates</t>
  </si>
  <si>
    <t>Man 01 Project brief and design</t>
  </si>
  <si>
    <t>Man 02 Life cycle cost and service life planning</t>
  </si>
  <si>
    <t>Man 03 Responsible construction practices</t>
  </si>
  <si>
    <t>Man 04 Comissioning and handover</t>
  </si>
  <si>
    <t>Man 05 Aftercare</t>
  </si>
  <si>
    <t>Ene 02: Non residential</t>
  </si>
  <si>
    <t>Hea 08: Bare residential</t>
  </si>
  <si>
    <t>To activate select YES in cell P7</t>
  </si>
  <si>
    <t>To activate select YES in cell V7</t>
  </si>
  <si>
    <t>Mat03</t>
  </si>
  <si>
    <t>Mat 03 Responsible sourcing of mat.  - Crit 1.</t>
  </si>
  <si>
    <t>Wst 02 Recycled aggregatess</t>
  </si>
  <si>
    <t>Wst 01 Construction site waste man.</t>
  </si>
  <si>
    <t>No. of BREEAM innovation credits available</t>
  </si>
  <si>
    <t>Minimum standards applicable</t>
  </si>
  <si>
    <t>Assessment Criteria</t>
  </si>
  <si>
    <t>Compliant?</t>
  </si>
  <si>
    <t>Credits available</t>
  </si>
  <si>
    <t>Credits achieved</t>
  </si>
  <si>
    <t>Shell &amp; Core option?</t>
  </si>
  <si>
    <t>Total BREEAM credits achieved</t>
  </si>
  <si>
    <t>Total BREEAM innovation credits achieved</t>
  </si>
  <si>
    <t>Minimum standards not met for certification</t>
  </si>
  <si>
    <t>Assessor comments/notes:</t>
  </si>
  <si>
    <t>Please select</t>
  </si>
  <si>
    <t>Very Good level</t>
  </si>
  <si>
    <t>Energy consumption monitoring</t>
  </si>
  <si>
    <t>Water consumption monitoring</t>
  </si>
  <si>
    <t>Transport of construction materials and waste monitoring</t>
  </si>
  <si>
    <t>Indicator Not Assessed</t>
  </si>
  <si>
    <t>Distance (total) - materials transport to site</t>
  </si>
  <si>
    <t>Energy consumption (total) - materials transport to site</t>
  </si>
  <si>
    <t>Energy consumption (total) - waste transport from site</t>
  </si>
  <si>
    <t xml:space="preserve">Energy consumption (intensity) - materials transport to site </t>
  </si>
  <si>
    <t xml:space="preserve">Energy consumption (intensity) - waste transport from site </t>
  </si>
  <si>
    <t>Key Performance Indicators: Construction site greenhouse gas emissions</t>
  </si>
  <si>
    <t>Greenhouse gas emissions (total) - materials transport to site</t>
  </si>
  <si>
    <t>Greenhouse gas emissions (total) - waste transport from site</t>
  </si>
  <si>
    <t>Greenhouse gas emissions (intensity) - materials transport to site</t>
  </si>
  <si>
    <t>Greenhouse gas emissions (intensity) - waste transport from site</t>
  </si>
  <si>
    <t>Key Performance Indicators: Construction site use of freshwater resources</t>
  </si>
  <si>
    <t>Use of freshwater resource (intensity) - site processes</t>
  </si>
  <si>
    <t>Note: Compliance with this criteria is a minimum standard for achieving any BREEAM rating level (it is not necessary to achieve the credit to comply with the minimum standards).</t>
  </si>
  <si>
    <t>Daylighting</t>
  </si>
  <si>
    <t>Glare control and view out</t>
  </si>
  <si>
    <t>Internal and external lighting</t>
  </si>
  <si>
    <t>Key Performance Indicators: Indoor air quality</t>
  </si>
  <si>
    <t>Concentration levels of formaldehyde</t>
  </si>
  <si>
    <t xml:space="preserve">Total volatile organic compound (TVOC) concentration </t>
  </si>
  <si>
    <t>Thermal modelling</t>
  </si>
  <si>
    <t>Thermal zoning and control strategy</t>
  </si>
  <si>
    <t>Key Performance Indicators: Thermal comfort (PPD and PMV)</t>
  </si>
  <si>
    <t>Predicted percentage dissatisfied (PPD)</t>
  </si>
  <si>
    <t>Predicted mean vote (PMV)</t>
  </si>
  <si>
    <t>Appointment of a suitably qualified acoustician</t>
  </si>
  <si>
    <t>Risk assessment and mitigation of natural hazards</t>
  </si>
  <si>
    <t>Compliant outdoor space provided</t>
  </si>
  <si>
    <t>Ene01 Calculator and Key Performance Indicators</t>
  </si>
  <si>
    <t>kWh/m2/yr</t>
  </si>
  <si>
    <t>Monitoring of energy use by tenancy or function area</t>
  </si>
  <si>
    <t>Good level</t>
  </si>
  <si>
    <t>External lighting specification</t>
  </si>
  <si>
    <t>Compliant LZC feasibility study</t>
  </si>
  <si>
    <t>Compliant LCA measuring carbon footprint of LZC system(s)</t>
  </si>
  <si>
    <t>Refrigeration system design, installation and commissioning</t>
  </si>
  <si>
    <t>Components meet published energy efficiency criteria</t>
  </si>
  <si>
    <t>Indirect operational greenhouse gas emissions</t>
  </si>
  <si>
    <t>Note: The first Ene05 credit must be achieved before the third credit can be awarded.</t>
  </si>
  <si>
    <t>Energy efficient transportation features</t>
  </si>
  <si>
    <t>Note: The first Ene06 credit must be achieved before this credit can be awarded.</t>
  </si>
  <si>
    <t>Note: This issue is only applicable to Bespoke assessments.</t>
  </si>
  <si>
    <t>Note: Compliance with the laboratory fume cupboards and containment areas criteria 23 and 24 in issue Hea 02 Indoor Air Quality is required to award the first credit in this issue.</t>
  </si>
  <si>
    <t>Significant majority contributor</t>
  </si>
  <si>
    <t>Type 6</t>
  </si>
  <si>
    <t>Building dedicated bus service</t>
  </si>
  <si>
    <t>Close proximity and accessible to applicable amenities</t>
  </si>
  <si>
    <t>Type 1</t>
  </si>
  <si>
    <t>03a   -  Assessment Criteria  - Non Residential</t>
  </si>
  <si>
    <t>Please Select</t>
  </si>
  <si>
    <t>03b   -  Assessment Criteria  - Residential</t>
  </si>
  <si>
    <t>Transport plan based on site specific travel survey/assessment</t>
  </si>
  <si>
    <t>Please select the calculation procedure used</t>
  </si>
  <si>
    <t>Standard approach</t>
  </si>
  <si>
    <t>Standard approach data</t>
  </si>
  <si>
    <t>L/person/day</t>
  </si>
  <si>
    <t>Water demand met via greywater/rainwater sources</t>
  </si>
  <si>
    <t>%</t>
  </si>
  <si>
    <t>Key Performance Indicator - use of freshwater resource</t>
  </si>
  <si>
    <t xml:space="preserve">Total net Water Consumption </t>
  </si>
  <si>
    <t>m3/person/yr</t>
  </si>
  <si>
    <t>Default building occupancy</t>
  </si>
  <si>
    <t>Water meter on the mains water supply to the building(s)</t>
  </si>
  <si>
    <t>Metering/monitoring equipment on supply to plant/building areas</t>
  </si>
  <si>
    <t>Pulsed output on all relevant water meters</t>
  </si>
  <si>
    <t>Existing BMS connection</t>
  </si>
  <si>
    <t>Leak detection on building's mains water supply</t>
  </si>
  <si>
    <t>Flow control device to each sanitary area/facility</t>
  </si>
  <si>
    <t>Specification/installation of water efficient equipment</t>
  </si>
  <si>
    <t>Note: The Mat01 data required for reporting purposes is sourced from BREEAM's Mat01 calculator.</t>
  </si>
  <si>
    <t>Key Performance Indicator - embodied green house gas emissions by element</t>
  </si>
  <si>
    <t>External walls</t>
  </si>
  <si>
    <t>Note: where the element is not present in the building (or it is present but does not require assessment using BREEAM) please insert "N/A" in each of the relevant cells. If the element is present and assessed using BREEAM but the impact data is not available and/or not reported please insert "INA", i.e. Indicator Not Assessed, in the 'total impact'  cell and 'area of the element that the reported impact data covers' cell . In such cases please continue to state the area of the element present as this is used to determine the proportion of the applicable building elements that the reported impact data covers.</t>
  </si>
  <si>
    <t>Windows</t>
  </si>
  <si>
    <t>Roof</t>
  </si>
  <si>
    <t>Upper floor construction</t>
  </si>
  <si>
    <t>Internal wall</t>
  </si>
  <si>
    <t>Floor finishes/coverings</t>
  </si>
  <si>
    <t>Key Performance Indicator - embodied green house gas emissions for building (assessed elements only)</t>
  </si>
  <si>
    <t>Total embodied green house gas emissions for building (by assessed elements)</t>
  </si>
  <si>
    <t>Missing data</t>
  </si>
  <si>
    <t>Proportion of applicable building elements that data reported covers</t>
  </si>
  <si>
    <t>All timber is legally harvested and legally traded</t>
  </si>
  <si>
    <t>Element present / assessed</t>
  </si>
  <si>
    <t>% element responsibly sourced</t>
  </si>
  <si>
    <t>Structural Frame</t>
  </si>
  <si>
    <t>Ground floor</t>
  </si>
  <si>
    <t>Upper floors (including separating floors)</t>
  </si>
  <si>
    <t>Internal walls</t>
  </si>
  <si>
    <t>Foundation/substructure</t>
  </si>
  <si>
    <t>Excellent level</t>
  </si>
  <si>
    <t>Suitable durability/protection measures to vulnerable building areas</t>
  </si>
  <si>
    <t>Construction resource efficiency</t>
  </si>
  <si>
    <t>Targets set in for non-hazardous and hazardous waste produced on site</t>
  </si>
  <si>
    <t>Procedures are in place to minimise non-hazardous and hazardous waste</t>
  </si>
  <si>
    <t>Note: If data not available then insert "INA" (i.e. Indicator not assessed) in the relevant cell.</t>
  </si>
  <si>
    <t>Site construction waste is being monitored and targets regularly reviewed</t>
  </si>
  <si>
    <t>Management has nominated individual responsible for implementing the above</t>
  </si>
  <si>
    <t>Waste generated per 100m2  (m3 or tonnes)</t>
  </si>
  <si>
    <t>m3/100m2</t>
  </si>
  <si>
    <t>Total</t>
  </si>
  <si>
    <t>03a - Assessment Criteria (Non- Residential)</t>
  </si>
  <si>
    <t>Static waste compactor(s) or baler(s)</t>
  </si>
  <si>
    <t>Vessel(s) for composting suitable organic waste</t>
  </si>
  <si>
    <t>03b - Assessment Criteria (Residential)</t>
  </si>
  <si>
    <t>Adequate external and internal storage space (AC 1 &amp; 2)</t>
  </si>
  <si>
    <t>Adequate external and internal storage space (AC 3-6)</t>
  </si>
  <si>
    <t>Percentage</t>
  </si>
  <si>
    <t>Percentage of proposed development footprint on previously developed land:</t>
  </si>
  <si>
    <t>Contaminated land</t>
  </si>
  <si>
    <t>Ecological value of the land defined using</t>
  </si>
  <si>
    <t>Protection of existing ecological features</t>
  </si>
  <si>
    <t>Suitably Qualified Ecologist appointment (SQE)</t>
  </si>
  <si>
    <t>Percentage of recommendtations for enhancement of site ecology implemented:</t>
  </si>
  <si>
    <t>Building Type</t>
  </si>
  <si>
    <t>Ratio</t>
  </si>
  <si>
    <t>Gross internal floor area : Gross internal Ground floor area ratio</t>
  </si>
  <si>
    <t>Note: The data required for this assessment issue is sourced from the separate BREEAM Pol 01 calculator.</t>
  </si>
  <si>
    <t>Refrigerant containing systems installed in the assessed building?</t>
  </si>
  <si>
    <t>Ozone Depleting Potential (ODP) of zero.</t>
  </si>
  <si>
    <t>kgCO2eq/kW coolth capacity</t>
  </si>
  <si>
    <t>kW</t>
  </si>
  <si>
    <t>BREEAM compliant refrigerant leak detection and containment</t>
  </si>
  <si>
    <t>Instruction: If the total Direct Effect Life Cycle CO2eq. emissions from the system have not been calculated state "INA", i.e. Indicator Not Assessed, in the relevant cells.</t>
  </si>
  <si>
    <t>Note: Credits for this issue are determined on the basis of NOx emissions from space and water heating systems. However, where cooling is specified information on the performance of the cooling system is required for the purposes of reporting and benchmarking.</t>
  </si>
  <si>
    <t>Instruction: If the building has not specified mechanical cooling then insert zero in the 'NOx emission level - cooling' box. If cooling is, or will be specified then enter the NOx emissions level for the system. If heating and cooling is provided by the same system then pro-rata the overall NOx emissions according to modelled heating/cooling demand in the building and enter the relevant values in each box.</t>
  </si>
  <si>
    <t>mg/kWh</t>
  </si>
  <si>
    <t>Dry NOx emission level - water heating</t>
  </si>
  <si>
    <t xml:space="preserve">Nominal Heat input </t>
  </si>
  <si>
    <t>Europe only Boiler class (EN 297:1994 &amp;EN 483:1999)</t>
  </si>
  <si>
    <t>Note: The energy consumption for heating or heating and cooling (where cooling specified) is sourced from the approved software's Building Regulations Output Document  (technical data sheet). This information is used to report the KPI for total NOx emissions, it is not required to award the available BREEAM credits (insert "INA" if not known).</t>
  </si>
  <si>
    <t>Annual probability of flooding</t>
  </si>
  <si>
    <t xml:space="preserve">Flood Risk Assessment and ground level of the building and access </t>
  </si>
  <si>
    <t>Surface water run off – peak rate</t>
  </si>
  <si>
    <t>Surface water run off – volume, attenuation and/or limiting discharge</t>
  </si>
  <si>
    <t>Minimising watercourse pollution</t>
  </si>
  <si>
    <t>Noise-sensitive areas/buildings within 800m radius of the development</t>
  </si>
  <si>
    <t>Options</t>
  </si>
  <si>
    <t>Drop-down %</t>
  </si>
  <si>
    <t>Units</t>
  </si>
  <si>
    <t>Minimum standards verifier</t>
  </si>
  <si>
    <t>Shell only options</t>
  </si>
  <si>
    <t>Credit numbers</t>
  </si>
  <si>
    <t>kWh</t>
  </si>
  <si>
    <t>Outstanding level</t>
  </si>
  <si>
    <t>Pass 
(level 1)</t>
  </si>
  <si>
    <t>Good
(level 2)</t>
  </si>
  <si>
    <t>VG
(level 3)</t>
  </si>
  <si>
    <t>Exc
Level 4)</t>
  </si>
  <si>
    <t>Outs
(level 5</t>
  </si>
  <si>
    <t>Level 
achieved</t>
  </si>
  <si>
    <t>kWh/10% project value</t>
  </si>
  <si>
    <t>Man01</t>
  </si>
  <si>
    <r>
      <t>KgCO</t>
    </r>
    <r>
      <rPr>
        <vertAlign val="subscript"/>
        <sz val="11"/>
        <color indexed="8"/>
        <rFont val="Calibri"/>
        <family val="2"/>
      </rPr>
      <t>2</t>
    </r>
    <r>
      <rPr>
        <sz val="11"/>
        <color theme="1"/>
        <rFont val="Calibri"/>
        <family val="2"/>
        <scheme val="minor"/>
      </rPr>
      <t>eq /10% project value</t>
    </r>
  </si>
  <si>
    <t>Man02</t>
  </si>
  <si>
    <r>
      <t>KgCO</t>
    </r>
    <r>
      <rPr>
        <vertAlign val="subscript"/>
        <sz val="11"/>
        <color indexed="8"/>
        <rFont val="Calibri"/>
        <family val="2"/>
      </rPr>
      <t>2</t>
    </r>
    <r>
      <rPr>
        <sz val="11"/>
        <color theme="1"/>
        <rFont val="Calibri"/>
        <family val="2"/>
        <scheme val="minor"/>
      </rPr>
      <t>eq /km</t>
    </r>
  </si>
  <si>
    <t>Man 04a</t>
  </si>
  <si>
    <t>km</t>
  </si>
  <si>
    <t>Litres of fuel</t>
  </si>
  <si>
    <t>Litres/km</t>
  </si>
  <si>
    <t>KgCO2eq</t>
  </si>
  <si>
    <t>KgCO2eq /10% project value</t>
  </si>
  <si>
    <t>KgCO2eq /km</t>
  </si>
  <si>
    <t>m3</t>
  </si>
  <si>
    <t>m3/10% project value</t>
  </si>
  <si>
    <t>µg/m3</t>
  </si>
  <si>
    <t>02a   -  Assessment Criteria  - Non Residential</t>
  </si>
  <si>
    <t>02b   -  Assessment Criteria  - Residential</t>
  </si>
  <si>
    <t>Type 2</t>
  </si>
  <si>
    <t>Type 3</t>
  </si>
  <si>
    <t>Type 4</t>
  </si>
  <si>
    <t>Type 5</t>
  </si>
  <si>
    <t>Type 7</t>
  </si>
  <si>
    <t>1. Improved local cycling network</t>
  </si>
  <si>
    <t>2. Improved local bus service</t>
  </si>
  <si>
    <t>3. Electric recharging stations</t>
  </si>
  <si>
    <t>4. Car sharing</t>
  </si>
  <si>
    <t>5. Cycle Storage 1 credit</t>
  </si>
  <si>
    <t>5. Cycle Storage 2 credits</t>
  </si>
  <si>
    <t>Alternative approach</t>
  </si>
  <si>
    <t>Select %</t>
  </si>
  <si>
    <t>Total area of element m2</t>
  </si>
  <si>
    <t>Total impact
kgCO2 eq.</t>
  </si>
  <si>
    <t>Area of element impact data relevant to m2</t>
  </si>
  <si>
    <t>kgCO2 eq./m2</t>
  </si>
  <si>
    <t>tonnes/100m2</t>
  </si>
  <si>
    <t>Construction  waste sorted into ≥5 defined waste groups</t>
  </si>
  <si>
    <t>The BREEAM checklist</t>
  </si>
  <si>
    <t>A Suitably Qualified Ecologist</t>
  </si>
  <si>
    <t>House</t>
  </si>
  <si>
    <t>Flat</t>
  </si>
  <si>
    <t>≥3:1</t>
  </si>
  <si>
    <t>≥4:1</t>
  </si>
  <si>
    <t>Dry NOx emission level - space heating</t>
  </si>
  <si>
    <t>Low</t>
  </si>
  <si>
    <t>Medium</t>
  </si>
  <si>
    <t>High</t>
  </si>
  <si>
    <t>Floodplain</t>
  </si>
  <si>
    <t>Not defined</t>
  </si>
  <si>
    <t xml:space="preserve">Design (interim) </t>
  </si>
  <si>
    <t>Ja</t>
  </si>
  <si>
    <t>If the building is a shell and core/speculative development and you wish to make use of the BREEAM evidence options for such project types, then select the appropriate option from the drop down list (see Scheme Document for definition of each option).</t>
  </si>
  <si>
    <t>&gt;70</t>
  </si>
  <si>
    <t>≤70</t>
  </si>
  <si>
    <t>Dry NOx emission level - ventilation heating</t>
  </si>
  <si>
    <t>Nei</t>
  </si>
  <si>
    <t>Error</t>
  </si>
  <si>
    <t>Measured</t>
  </si>
  <si>
    <t>Target</t>
  </si>
  <si>
    <t>Use</t>
  </si>
  <si>
    <t>Modelled</t>
  </si>
  <si>
    <t>Statements</t>
  </si>
  <si>
    <t>Note: For  assessments of healthcare buildings, construction site management criterion number 9 (EMS) must be achieved to award any credits for this assessment issue.</t>
  </si>
  <si>
    <t>Note: Compliance with the criteria and award of this credit is a minimum standard for achieving the BREEAM Good rating and above.</t>
  </si>
  <si>
    <t xml:space="preserve">Instruction: Please provide details of the BREEAM Accredited Professional in the project team  section of the Assessment Details page. </t>
  </si>
  <si>
    <t>Note: Although the number of BREEAM credits achieved meets the minimum number required for the  Excellent rating level, the percentage improvement for the Building Emission Rate (BER) has not met the minimum level required for Excellent.</t>
  </si>
  <si>
    <t>Note: Although the percentage improvement for the Building Emission Rate (BER) has met the minimum level required for the Excellent rating, the number of BREEAM credits achieved does not meet the minimum required for the Excellent level.</t>
  </si>
  <si>
    <t>Note: Although the number of BREEAM credits achieved meets the minimum number required for the Outstanding rating level, the percentage improvement for the Building Emission Rate (BER) has not met the minimum level required for Outstanding.</t>
  </si>
  <si>
    <t>Note: Although the percentage improvement for the Building Emission Rate (BER) has met the minimum level required for the Outstanding rating the number of BREEAM credits achieved does not meet the minimum required for the Outstanding rating level.</t>
  </si>
  <si>
    <t>Note: Although the EPRnc achieved exceeds the benchmark level required to award 15 credits, the building has not achieved the 100% improvement on the TER, i.e.it is not a zero net CO2 emissions building, required to award all 15 BREEAM credits for Ene01.</t>
  </si>
  <si>
    <t>Note: Although the individual EPRnc performance levels for both non-domestic and domestic building areas achieves 15 credits, the building as a whole has not achieved the 100% improvement on the TER, i.e.it is not a zero net CO2 emissions building, required to award a total of 15 BREEAM credits for Ene01.</t>
  </si>
  <si>
    <t>Instruction: You have stated the building is not compliant, but awarded credits, please rectify.</t>
  </si>
  <si>
    <t>Note: This credit is not applicable to prison buildings.</t>
  </si>
  <si>
    <t>Note: This credit does not apply to industrial buildings with no office space.</t>
  </si>
  <si>
    <t>Note: You have stated in the building and project details tab that the assessed building has no office or laboratory space or fume cupboards, therefore this issue is not applicable to the assessment.</t>
  </si>
  <si>
    <t>Instruction: If the thermal modelling undertaken has not resulted in a TOR value, then insert "INA" (Indicator Not Assessed) in the relevant cell</t>
  </si>
  <si>
    <t>Note: You have stated in the building and project details tab that the assessed building is an industrial building with no office space, therefore this issue does not require assessment.</t>
  </si>
  <si>
    <t>Note: where the assessed development does not have external site areas this issue does not apply. In such instances, the issue will be filtered out of the assessment scope.</t>
  </si>
  <si>
    <t>Note: where the assessed development has no risk from natural hazards (other than flooding) this issue does not apply. In such instances, the issue will be filtered out of the assessment scope.</t>
  </si>
  <si>
    <t>Note: the first credit within the BREEAM issue Hea 03 Thermal comfort has not been achieved, therefore the free cooling credit is not achievable.</t>
  </si>
  <si>
    <t>Instruction: If no energy generation from LZC, please state zero in the relevant KPI cell.</t>
  </si>
  <si>
    <t>Instruction: Please confirm the energy source for the specified LZC system</t>
  </si>
  <si>
    <t>Note: The sixth credit for commissioning in issue Man01 must be achieved in order to award the first credit for Ene05.</t>
  </si>
  <si>
    <t>Note: You have stated in the building and project details tab that the assessed building does not have any commercial/industrial refrigeration and storage systems, therefore this issue is not applicable to the assessment.</t>
  </si>
  <si>
    <t>Note: You have stated in the building and project details tab that the assessed building does not have building user transportation systems (lifts and/or escalators), therefore this issue is not applicable to the assessment.</t>
  </si>
  <si>
    <t>Note: You have stated in the building and project details tab that the assessed building does not have any fume cupboards, therefore this credit is not applicable to the assessment.</t>
  </si>
  <si>
    <t>Note: This criteria is not applicable to the building type you have selected.</t>
  </si>
  <si>
    <t>Note: The design specification criteria must be achieved in order to achieve any of the available credits for best practice energy measure in laboratories.</t>
  </si>
  <si>
    <t>Error: please change "Yes" to "No" if function area/equipment not present.</t>
  </si>
  <si>
    <t>Instruction: You have confirmed compliance but not stated which function areas/equipment are present and/or which make-up the significant majority, please confirm as appropriate or withhold the available credits.</t>
  </si>
  <si>
    <t>Note:  This issue is not applicable to the building type and/or sub-building type selected in the Assessment Details page.</t>
  </si>
  <si>
    <t>Note: A credit for a dedicated bus service is only available where the building has not achieved any credits for it public transport accessibility index (refer to the technical guide for further detail).</t>
  </si>
  <si>
    <t>Instruction: the building type category must be defined for both BREEAM issues Tra01 and Tra03 to calculate the total number of credits available for the transport section and therefore issue contribution to overall score.</t>
  </si>
  <si>
    <t>Note: This issue is not applicable to assessments of prison buildings.</t>
  </si>
  <si>
    <t>Instruction: If the building is non-compliant please award zero credits.</t>
  </si>
  <si>
    <t>Instruction: If the building is compliant then award the appropriate number of BREEAM credits in the relevant cell.</t>
  </si>
  <si>
    <t xml:space="preserve">Instruction: Please select the building type category (below) to define the number of credits available. </t>
  </si>
  <si>
    <t>See note</t>
  </si>
  <si>
    <t>Note: The credit available for cyclist facilities cannot be awarded if the building does not have the requisite number of cycle storage spaces</t>
  </si>
  <si>
    <t>Instruction: If selecting shell only option 4 then you must change the relevant assessment criteria "compliant" option from "yes" to "no".</t>
  </si>
  <si>
    <t>Note: This issue is not applicable for the building type category you have defined (in issue Tra03)</t>
  </si>
  <si>
    <t>Instruction: The building type defined here is based on that selected above for issue Tra03 (or if assessing a healthcare building, Tra 01 and Tra03). If you have not selected a type from Tra03 (and Tra01 where applicable) then you will need to do so before assessing this issue.</t>
  </si>
  <si>
    <t>Note: You have stated in the building and project details tab that the assessed building does not have either internal or external planting and/or soft landscaping or a vehicle wash system, therefore this issue is not applicable to the assessment.</t>
  </si>
  <si>
    <t>Note: Where a vehicle wash system is specified/installed, compliance with the 'minimising risk of contamination' criteria in assessment issue Hea 04 is required in order to award the available credit for compliant water efficient equipment.</t>
  </si>
  <si>
    <t>Instruction: Please delete the number of points from the cell if the element is not assessed/present or less than 80% of element is responsibly sourced.</t>
  </si>
  <si>
    <t>Note: An Insulation Index the same as or greater than two is required to achieve this credit.</t>
  </si>
  <si>
    <t>Note: at least 80% of the Insulating materials must be responsibly sourced to achieve this credit.</t>
  </si>
  <si>
    <t>Note: At the design stage of assessment this will be a target benchmark or estimation, if/where reported in the SWMP. Where data not available enter "INA", i.e. Indicator Not Assessed, in the relevant cell.</t>
  </si>
  <si>
    <t>Note: At the design stage of assessment this figure is estimated based on the target benchmark reported above.</t>
  </si>
  <si>
    <t xml:space="preserve">Instruction: For the post-construction stage review/assessment the data entered will be the actual construction waste volume/tonnes, as sourced from the SWMP summary datasheets or equivalent monitoring records/report  </t>
  </si>
  <si>
    <t>Note: At the design stage of assessment the percentages will most likely be based on targets, confirmed using  documentation that describes the intended source of the recycled/secondary aggregates and that the required amount (to achieve the quoted percentages) can be provided.</t>
  </si>
  <si>
    <t>Instruction: if the specification of the additional operational waste facility/facilities is not applicable due to the absence or lack of a consistent volume of the appropriate waste stream(s) then select "N/A".</t>
  </si>
  <si>
    <t>Note: This assessment issue is applicable to office buildings only.</t>
  </si>
  <si>
    <t>Note: If none of the additional criteria apply, as confirmed by the Suitably Qualified Ecologist, the credits are awarded on the basis of compliance with the mandatory criteria.</t>
  </si>
  <si>
    <t>Instruction: For speculative buildings, if the building is designed to be fully naturally ventilated and therefore no 'refrigerant using' building services or systems will be specified for the fit out, then confirm "no" accordingly. Alternatively, or if not known, state "yes". Where stating yes, the assessment is then relying on one of the shell only options to commit the future tenant to either, not specify refrigerants or, specify refrigerants and refrigerant containing plant compliant to the level required for the credits sought.</t>
  </si>
  <si>
    <t>Note: You have stated in the building projects and details tab that the assessed building is an industrial unit with no office areas and an untreated (not cooled or heated) operational area, as such this issue is not applicable.</t>
  </si>
  <si>
    <t>Instruction: If the NOx level for water heating is not known/reported then please insert the letters "INA" in the relevant cell. If, in accordance with the relevant compliance note in the technical guide, the water heating benchmark is not applicable to the assessed building, please insert the letters "N/A" in the cell, or alternatively enter the NOx emission level if it is known.</t>
  </si>
  <si>
    <t>Instruction: If the building meets the definition of a 'highly insulated building' and the NOx emission level is low enough to claim more than one BREEAM credit, then select the "N/A" option from the drop-down list against the option for defining the building as a 'highly insulated building'. The reporting tool will then award the credits on the basis of the NOx emission level entered. If you select "yes" from the drop-down list against the option for defining the building as a 'highly insulated building' then only a single credit can be awarded, in accordance with the compliance note 'Highly insulated building'.</t>
  </si>
  <si>
    <t>Instruction: If there are there no noise-sensitive areas/buildings within 800m radius of the development then no shell and core option is required i.e. select/leave the 'N/A' option.</t>
  </si>
  <si>
    <t>Instruction: Please reference the BREEAM Innovation application reference numbers alongside other applicable evidential references in the 'Assessment References' worksheet.</t>
  </si>
  <si>
    <t>Note: The  maximum number of BREEAM credits that can be awarded for innovation is capped at 10.</t>
  </si>
  <si>
    <t>Information not available at design stage</t>
  </si>
  <si>
    <t>Indicator Not Applicable</t>
  </si>
  <si>
    <t>Instruction: Invalid option selection, please re-try</t>
  </si>
  <si>
    <t>Assessment Issue Not Applicable</t>
  </si>
  <si>
    <t>Flood Risk Assessment</t>
  </si>
  <si>
    <t>Instruction: You have awarded more credits than are available for this issue, please amend.</t>
  </si>
  <si>
    <t>Instruction: If the GWP of the specified refrigerants is 10 or less then two credits are awarded. For the purpose of reporting key building impacts the DELC calculation and cooling capacity of the system is still required (calculated using the separate Pol01 calculator), alternatively state "INA", i.e. Indicator Not Assessed, in the relevant cells.</t>
  </si>
  <si>
    <t>Note: Selecting shell  and core  option 2 for any of the criteria will result in only half the achieved credits being awarded regardless of the shell and core options selected for the other criteria.</t>
  </si>
  <si>
    <t>Note: Selecting shell  and core option 4 for any of the criteria will result in zero credits being awarded regardless of the shell and core options selected for the other criteria.</t>
  </si>
  <si>
    <t>See instruction</t>
  </si>
  <si>
    <t>Note: You have stated that the cycle storage spaces are compliant but entered no figure or zero in the box above for the number of compliant cycle storage spaces provided, please clarify.</t>
  </si>
  <si>
    <t>Note: you have stated that cyclist facilities are compliant but not defined the cyclist facilities provided, please clarify.</t>
  </si>
  <si>
    <t>Instruction: Please insert the relevant number of credits achieved in the appropriate cell (as indicated).</t>
  </si>
  <si>
    <t>Note: Data for the Ene01 Calculator for non-domestic buildings is sourced from the Building Regulations Output Document from the approved software (in the technical data sheet in the 'Energy and CO2 emissions summary' table). This data must be verified using BREEAM's Ene01 Compliance Checker website (hyperlink above) before entering in to the Ene01 Calculator opposite.</t>
  </si>
  <si>
    <t>Note: The relevant data for the domestic building areas is sourced from the SAP Datasheet from the approved software. This data must first be entered in to the 'Ene01 Supplementary Calculator for Multi-Residential Buildings Using SAP' to convert to the outputs required for the purposes of the BREEAM assessment. Once converted by the supplementary calculator the relevant data should be entered in to the boxes opposite.</t>
  </si>
  <si>
    <t>Note: Where both SBEM (Non-Domestic) and SAP (Domestic) outputs are used, the total credits achieved is determined by area weighting the credits achieved for the domestic and non-domestic performance of the building. The area weighted totals are then added together and round down to the nearest whole credit. The same method of area weighting is applied to the percentage improvement on the building's Target Emission Rate (except rounding is to two decimal places). The area weighted credits  and percentage improvement are the totals used to determine compliance with the Ene01 minimum standards.</t>
  </si>
  <si>
    <t>Instruction: If the building is designed to be 'carbon negative' then you should  enter 100% in the box opposite. If the percentage is less than 100% then the building is not defined as 'carbon negative'.</t>
  </si>
  <si>
    <t>SBEM only</t>
  </si>
  <si>
    <t>SAP only</t>
  </si>
  <si>
    <t>SBEM and SAP</t>
  </si>
  <si>
    <t>Note: To achieve the second credit for appointing a BREEAM Accredited professional the first credit for a BREEAM AP appointment must first be achieved. The third credit for appointing a BREEAM AP can be awarded independently of the first two credits.</t>
  </si>
  <si>
    <t>To achieve the credit available for compliance with criteria 19 &amp; 20 (commissioning of buiding services) the building must comply with and achieve the first commissioning credit for criteria 16-18.</t>
  </si>
  <si>
    <t>Note: To achieve the second credit available for LCC the first credit must also be achieved.</t>
  </si>
  <si>
    <t>Note: To achieve the third credit available for LCC both the first and second credit must be achieved.</t>
  </si>
  <si>
    <t>Note: To award the second credit the first credit must also be achieved.</t>
  </si>
  <si>
    <t>Note: Hea02 criterion 2 (indoor air quality plan) must be complied with in order to achieve the available credit for VOC's compliance.</t>
  </si>
  <si>
    <t>Note: the change in ecological value is sourced from BREEAM's LE03/LE04 calculator</t>
  </si>
  <si>
    <t>Note: Please ensure you reference the unique ID number provided by the online BREEAM Ene01 Compliance Checker in the Assessment References section of your report.</t>
  </si>
  <si>
    <t>Note: BREEAM's online Ene01 Compliance Checker must be used to verify that the relevant information from the Technical Data Sheet in the BRUKL Output Document is accurate.</t>
  </si>
  <si>
    <t>Note: Buildings in Greater London - Transport for London hosts a Planning Information Database that allows users to search for a specific London location by street name, co-ordinates or postcode and then calculate the Accessibility Index (AI) for that location. 
The Total AI is confirmed for the Point of Interest (POI) within the Summary Report, which can be downloaded and used as evidence of compliance for the assessed building. Go to: www.webptals.org.uk</t>
  </si>
  <si>
    <t>Note: The risk assessment criterion must be achieved in order to achieve this credit.</t>
  </si>
  <si>
    <t>INA</t>
  </si>
  <si>
    <t>|</t>
  </si>
  <si>
    <t>Pass level</t>
  </si>
  <si>
    <t>Man 04b</t>
  </si>
  <si>
    <t>Criteria1</t>
  </si>
  <si>
    <t>Hea02</t>
  </si>
  <si>
    <t>Hea04</t>
  </si>
  <si>
    <t>Hea08</t>
  </si>
  <si>
    <t>Ene01</t>
  </si>
  <si>
    <r>
      <t>µg/m</t>
    </r>
    <r>
      <rPr>
        <vertAlign val="superscript"/>
        <sz val="11"/>
        <color indexed="8"/>
        <rFont val="Calibri"/>
        <family val="2"/>
      </rPr>
      <t>3</t>
    </r>
  </si>
  <si>
    <t>Ene02</t>
  </si>
  <si>
    <t>Ene04</t>
  </si>
  <si>
    <t>Wat01</t>
  </si>
  <si>
    <r>
      <t>m</t>
    </r>
    <r>
      <rPr>
        <vertAlign val="superscript"/>
        <sz val="11"/>
        <color indexed="8"/>
        <rFont val="Calibri"/>
        <family val="2"/>
      </rPr>
      <t>3</t>
    </r>
    <r>
      <rPr>
        <sz val="11"/>
        <color theme="1"/>
        <rFont val="Calibri"/>
        <family val="2"/>
        <scheme val="minor"/>
      </rPr>
      <t>/person/yr</t>
    </r>
  </si>
  <si>
    <t>Wat02</t>
  </si>
  <si>
    <r>
      <t>m</t>
    </r>
    <r>
      <rPr>
        <vertAlign val="superscript"/>
        <sz val="11"/>
        <color indexed="8"/>
        <rFont val="Calibri"/>
        <family val="2"/>
      </rPr>
      <t>3</t>
    </r>
    <r>
      <rPr>
        <sz val="11"/>
        <color theme="1"/>
        <rFont val="Calibri"/>
        <family val="2"/>
        <scheme val="minor"/>
      </rPr>
      <t>/100m2</t>
    </r>
  </si>
  <si>
    <t>Criteria 1</t>
  </si>
  <si>
    <t>Wst01</t>
  </si>
  <si>
    <t>volume</t>
  </si>
  <si>
    <t>Wst03</t>
  </si>
  <si>
    <t>tonnes</t>
  </si>
  <si>
    <t>Minimum standard level</t>
  </si>
  <si>
    <t>BREEAM rating level</t>
  </si>
  <si>
    <r>
      <t>m</t>
    </r>
    <r>
      <rPr>
        <vertAlign val="superscript"/>
        <sz val="11"/>
        <color indexed="8"/>
        <rFont val="Calibri"/>
        <family val="2"/>
      </rPr>
      <t>3</t>
    </r>
  </si>
  <si>
    <t>Minimum standard level same or better than rating level</t>
  </si>
  <si>
    <t>Plant species richness</t>
  </si>
  <si>
    <t>Residential minimum standards</t>
  </si>
  <si>
    <t>Three credits achieved</t>
  </si>
  <si>
    <t>m3/yr</t>
  </si>
  <si>
    <t>HUG credit achieved</t>
  </si>
  <si>
    <t>Total min standards</t>
  </si>
  <si>
    <t>Residential min standard</t>
  </si>
  <si>
    <t>kWh/yr</t>
  </si>
  <si>
    <t>Additional criteria (6) - Biodiversity Champion</t>
  </si>
  <si>
    <t>Additional criteria (7) - Training of site workforce</t>
  </si>
  <si>
    <t>Additional criteria (9) - New ecologically valuable habitat creation</t>
  </si>
  <si>
    <t>Additional criteria (10) - Construction programme minimises disturbance to wildlife</t>
  </si>
  <si>
    <t>Additional criteria (11) - Local wildlife group partnership</t>
  </si>
  <si>
    <t>Additional criteria (8) - Monitor and record actions to protection site biodiversity</t>
  </si>
  <si>
    <t>4 eller fler j, 2 p, 2 eller fler j 1p</t>
  </si>
  <si>
    <t>bare ett er tilgjengelig</t>
  </si>
  <si>
    <t>bare 3 er tilgjengelig</t>
  </si>
  <si>
    <t>oppnådd poeng</t>
  </si>
  <si>
    <t>≥2.5:1</t>
  </si>
  <si>
    <t>Amount of waste generated reported via form 5178/5179 and BREEAM S&amp;R tool</t>
  </si>
  <si>
    <t>Where buildings exist on the site: pre-demolition audit completed</t>
  </si>
  <si>
    <t>At least 75% (by weight)</t>
  </si>
  <si>
    <t>Amount of construction waste sorted into separate key waste groups</t>
  </si>
  <si>
    <t>At least 85% (by weight)</t>
  </si>
  <si>
    <t>At least 90% (by weight)</t>
  </si>
  <si>
    <t>Under 75% (by weight)/Unknown</t>
  </si>
  <si>
    <t>ikke brukt til noe enda</t>
  </si>
  <si>
    <t>Assessment Criteria - Absence of environmental toxins</t>
  </si>
  <si>
    <t>Evidence presented to document the absence of the specified toxins listed in Checklist A20</t>
  </si>
  <si>
    <t>Assessment Criteria - Environmental Product Declarations (EPD)</t>
  </si>
  <si>
    <t>EPDs verified according to EN 15804, EN ISO 14025 or ISO 21930</t>
  </si>
  <si>
    <t>Nuber of EPD's  collected for different building products, from product groups listed in Table 32</t>
  </si>
  <si>
    <t>Number of EPD's collected for level three product groups in the NS 3451 (Bygningsdelstabellen), part 3 - 6</t>
  </si>
  <si>
    <t>Poeng for første innovasjon</t>
  </si>
  <si>
    <t>Assessment Criteria - Performance requirement for building products</t>
  </si>
  <si>
    <t>Number of products in table 32 satisfies marks 1-6 in ECO product and/or the EU Ecolabel/Nordic Ecolabel criteria</t>
  </si>
  <si>
    <t>Products in Ecolabel: at least one ‘green’ and the remaining ‘white’</t>
  </si>
  <si>
    <t>At least four of the products are from the five product groups as defined in NS 3451 Table of Building Elements</t>
  </si>
  <si>
    <t>Product groups: 231/232 Insulation in external walls, 233 Windows, 235 External cladding, 246 Internal cladding, 251 Supporting structures/decks</t>
  </si>
  <si>
    <t>Assessment Criteria - Life cycle impacts of building</t>
  </si>
  <si>
    <t>The project uses a life cycle assessment (LCA) tool to measure the life cycle environmental impact of the building</t>
  </si>
  <si>
    <t>The LCA includes mandatory building elements indicated in the Mat 01 calculator (where present)</t>
  </si>
  <si>
    <t>The mandatory requirements identified in the Mat 01 calculator have been met</t>
  </si>
  <si>
    <t>Percentage of BREEAM Mat 01 calculator points achieved (%)</t>
  </si>
  <si>
    <t>Assessment Criteria - Reduction of green house gas emissions</t>
  </si>
  <si>
    <t>Reduction (in %) of climate gas emissions compared to a reference building</t>
  </si>
  <si>
    <t>Calculated green house gas emissions from new materials in the building according to AC 7-10 (EN 15978 stages A1-A3)</t>
  </si>
  <si>
    <t>Staircase (stairs)</t>
  </si>
  <si>
    <t>Building elements
At least 80% of the element must be responsibly sourced to achieve any responsible sourcing points</t>
  </si>
  <si>
    <t>Responsible sourcing tier level</t>
  </si>
  <si>
    <t>Improvement on baseline performance (%)</t>
  </si>
  <si>
    <t>Type</t>
  </si>
  <si>
    <t>Accessibility index, lik eller større enn</t>
  </si>
  <si>
    <t>Tra 1</t>
  </si>
  <si>
    <t>under 0,5</t>
  </si>
  <si>
    <t>Building type category (sourced from issue Tra01)</t>
  </si>
  <si>
    <t>Cap parking capacity</t>
  </si>
  <si>
    <t>&gt;30</t>
  </si>
  <si>
    <t>Maximum parking capacity. 1 space per x building users, where x is:</t>
  </si>
  <si>
    <t>&lt;4</t>
  </si>
  <si>
    <t>&gt;=4-&lt;8</t>
  </si>
  <si>
    <t>&gt;=8</t>
  </si>
  <si>
    <t>Stakeholder consultation (project delivery)</t>
  </si>
  <si>
    <t>Stakeholder consultation, all relevant third party stakeholders have been consulted by the design team</t>
  </si>
  <si>
    <t>A BREEAM-NOR AP is appointed to monitor progress and  attends key project and design team meetings</t>
  </si>
  <si>
    <t>Assessment Criteria - Elemental life cycle cost (LCC)</t>
  </si>
  <si>
    <t>An outline, entire asset elemental LCC plan has been carried out at the Concept Design stage</t>
  </si>
  <si>
    <t>It is demonstrated that the LCC plan has been used to influence building and systems design</t>
  </si>
  <si>
    <t>Assessment Criteria - Component level LCC options appraisal</t>
  </si>
  <si>
    <t>A component level LCC options appraisal has been developed by the end of Technical Design Stage</t>
  </si>
  <si>
    <t>It is demonstrated that the component level LCC has been used to influence building and systems design</t>
  </si>
  <si>
    <t>A BREEAM-NOR AP has been appointed (design)</t>
  </si>
  <si>
    <t>Assessment Criteria - Environmental management</t>
  </si>
  <si>
    <t>The contractor operates an third party certified environmental management system (EMS), ISO 14001/EMAS or equivalent</t>
  </si>
  <si>
    <t>Completed checklist outlined in Table 8</t>
  </si>
  <si>
    <t>Implemented best practice pollution prevention policies and procedures on site</t>
  </si>
  <si>
    <t>A BREEAM-NOR AP has been appointed (construction)</t>
  </si>
  <si>
    <t>Assessment Criteria - BREEAM-NOR AP (construction)</t>
  </si>
  <si>
    <t>Assessment Criteria - Considerate construction</t>
  </si>
  <si>
    <t>The contractor's performance has been confirmed by independent assessment and verification</t>
  </si>
  <si>
    <t>Achieved items in each of the four sections within Checklist A1</t>
  </si>
  <si>
    <t>0-5</t>
  </si>
  <si>
    <t>All</t>
  </si>
  <si>
    <t>Poeng minimumstandard</t>
  </si>
  <si>
    <t>Hvis bare noen CN teller på minimum standard</t>
  </si>
  <si>
    <t>Assessment Criteria - Monitoring of site impacts</t>
  </si>
  <si>
    <t>Responsibility assigned for monitoring of site impacts</t>
  </si>
  <si>
    <t>Energy consumption (total) - construction process</t>
  </si>
  <si>
    <t>Energy consumption (intensity) - construction process</t>
  </si>
  <si>
    <t>Greenhouse gas emissions (total) - construction process</t>
  </si>
  <si>
    <t xml:space="preserve"> Greenhouse gas emissions (intensity) - construction process</t>
  </si>
  <si>
    <t>Commissioning and testing schedule and responsibilities</t>
  </si>
  <si>
    <t>Poeng minimumstandard 1-4</t>
  </si>
  <si>
    <t>Poeng minimumstandard 1-4+7</t>
  </si>
  <si>
    <t>Commissioning building services</t>
  </si>
  <si>
    <t>A building or home user guide is developed, prior to handover, including a training schedule</t>
  </si>
  <si>
    <t>Poeng minimumstandard 3</t>
  </si>
  <si>
    <t>There is (or will be) aftercare support</t>
  </si>
  <si>
    <t>Seasonal commissioning</t>
  </si>
  <si>
    <t>Post-occupancy evaluation (POE)</t>
  </si>
  <si>
    <t>Fluorescent lamps fitted with high frequency ballasts/high frequency PWM (Pulse Width Modulation)?</t>
  </si>
  <si>
    <t>An indoor air quality plan has been produced and implemented</t>
  </si>
  <si>
    <t>Ventilation - the building has been designed to minimise the concentration and recirculation of pollutants in the building</t>
  </si>
  <si>
    <t>Potential for natural ventilation</t>
  </si>
  <si>
    <t>Objective risk assessment of laboratories</t>
  </si>
  <si>
    <t>Containment Device Safety &amp; Performance</t>
  </si>
  <si>
    <t>Containment Level 2 and 3 labs, ventilation, pollution and safety</t>
  </si>
  <si>
    <t>All water systems in the building are designed to minimise the risk of microbial contamination, e.g. legionella.</t>
  </si>
  <si>
    <t>Where humidification is required, a failsafe humidification system is provided</t>
  </si>
  <si>
    <t xml:space="preserve">Assessment Criteria </t>
  </si>
  <si>
    <t>Noise class requirements, NS8175:2012</t>
  </si>
  <si>
    <t>C</t>
  </si>
  <si>
    <t>B</t>
  </si>
  <si>
    <t>Unknown</t>
  </si>
  <si>
    <t>The design complies with the “Recommended qualities (Anbefalte tilleggsytelse)</t>
  </si>
  <si>
    <t>The outdoor spaces is adjacent or in close proximity to the dwelling(s)</t>
  </si>
  <si>
    <t>Control plan that describes how to secure the building from moisture damage in the construction phases is established</t>
  </si>
  <si>
    <t>Drying of the construction is according to Building Detail 474.533 (moisture measurements for concrete/timber)</t>
  </si>
  <si>
    <t>Construction under cover, e.g. with a tent-based cover system</t>
  </si>
  <si>
    <t>Percentage improvement over the requirements of energy label C</t>
  </si>
  <si>
    <t>Nonresidential</t>
  </si>
  <si>
    <t>Current electricity OR primary fuel consumption data is displayed to occupants</t>
  </si>
  <si>
    <t>Current electricity AND primary fuel consumption data is displayed to occupants</t>
  </si>
  <si>
    <t>All external fittings, where provided, within the Construction zone meet or exceed the lighting requirements</t>
  </si>
  <si>
    <t>External light fittings are controlled through a Time switch, or Daylight sensor, to prevent operation during daylight hours</t>
  </si>
  <si>
    <t>Transportation system analysis and strategy. The system/strategy with the lowest energy consumption is specified</t>
  </si>
  <si>
    <t>Design specification criteria</t>
  </si>
  <si>
    <t>Specification of fume cupboards and other containment devices in compliance with criteria 17 and 18 in Hea 02</t>
  </si>
  <si>
    <t>Assessment Criteria - Design Specification</t>
  </si>
  <si>
    <t>Assessment Criteria - Pre-Requisite</t>
  </si>
  <si>
    <t>Assessment Criteria - Best practice energy efficient measures</t>
  </si>
  <si>
    <t>Chosen measure(s) have a significant effect on the total energy consumption of the laboratory</t>
  </si>
  <si>
    <t>The energy efficient measures specified do not compromise the defined performance criteria</t>
  </si>
  <si>
    <t>A: Small power and plug in equipment</t>
  </si>
  <si>
    <t>B: Swimming pool</t>
  </si>
  <si>
    <t>C: Communal laundry</t>
  </si>
  <si>
    <t>B: Fan power</t>
  </si>
  <si>
    <t>C: Fume cupboard volume flow rates</t>
  </si>
  <si>
    <t xml:space="preserve">D: Grouping / isolation of high filtration/ventilation activities </t>
  </si>
  <si>
    <t xml:space="preserve">E: Energy recovery - heat </t>
  </si>
  <si>
    <t>F: Energy recovery - cooling</t>
  </si>
  <si>
    <t xml:space="preserve">G: Grouping of cooling loads </t>
  </si>
  <si>
    <t>H: Free cooling</t>
  </si>
  <si>
    <t>I: Load responsiveness</t>
  </si>
  <si>
    <t>J: Cleanrooms</t>
  </si>
  <si>
    <t>K: Diversity</t>
  </si>
  <si>
    <t>L: Room air-change rates</t>
  </si>
  <si>
    <t>D: Data centre</t>
  </si>
  <si>
    <t>E: Residential areas</t>
  </si>
  <si>
    <t>F: Kitchen and catering facilities</t>
  </si>
  <si>
    <t>Present</t>
  </si>
  <si>
    <t>Significant majority contributors compliant with energy efficient equipment requirements?</t>
  </si>
  <si>
    <t>Select</t>
  </si>
  <si>
    <t>Net energy demand for heating and cooling is calculated according to NS 3701/NS 3700</t>
  </si>
  <si>
    <t>The building is designed to reduce the extent of air leaks.</t>
  </si>
  <si>
    <t>Tra 06</t>
  </si>
  <si>
    <t>Tra 06 Home office</t>
  </si>
  <si>
    <t>Home office with adequate space and services has been provided</t>
  </si>
  <si>
    <t>Yes - 1 p</t>
  </si>
  <si>
    <t>Yes - 2 p</t>
  </si>
  <si>
    <t>Yes - 3 p</t>
  </si>
  <si>
    <t>Yes - 4 p</t>
  </si>
  <si>
    <t>Yes - 5 p</t>
  </si>
  <si>
    <t>Yes - 6 p</t>
  </si>
  <si>
    <t>Yes - 7 p</t>
  </si>
  <si>
    <t>Yes - 8 p</t>
  </si>
  <si>
    <t>Yes - 9 p</t>
  </si>
  <si>
    <t>Yes - 10 p</t>
  </si>
  <si>
    <t>Exemplary: There are/will be infrastructure and resources to coordinate defined activities for the first three years of occupation</t>
  </si>
  <si>
    <t>Exemplary: TVOC concentration requirements: &lt;300 μg/m3 over 8 hours (or measures to get within limits)</t>
  </si>
  <si>
    <t>Exemplary: at least three EPDs are collected</t>
  </si>
  <si>
    <t>Exemplary: at least 85%</t>
  </si>
  <si>
    <t>Exemplary: At least 90% (by weight)</t>
  </si>
  <si>
    <t>Exemplary: greater than 50%</t>
  </si>
  <si>
    <t>Assessment Criteria - Capital cost reporting (Key Performance Indicator)</t>
  </si>
  <si>
    <t>Capital cost for the building (investeringskostnad), mill NOK</t>
  </si>
  <si>
    <t>Capital cost, mill NOK</t>
  </si>
  <si>
    <t>Assessment Criteria - Pre-requisite</t>
  </si>
  <si>
    <r>
      <t xml:space="preserve">Exemplary: Formaldehyde concentration requirements: </t>
    </r>
    <r>
      <rPr>
        <sz val="11"/>
        <color theme="1"/>
        <rFont val="Calibri"/>
        <family val="2"/>
      </rPr>
      <t>≤</t>
    </r>
    <r>
      <rPr>
        <sz val="11"/>
        <color theme="1"/>
        <rFont val="Calibri"/>
        <family val="2"/>
        <scheme val="minor"/>
      </rPr>
      <t>100 μg/m3 averaged over 30 minutes (or measures to get within limits)</t>
    </r>
  </si>
  <si>
    <t>6 or more product categories</t>
  </si>
  <si>
    <t>8 or more product categories</t>
  </si>
  <si>
    <t>5 or less product categories</t>
  </si>
  <si>
    <t>Assessment criteria 1-3. Monitoring of major energy consuming systems</t>
  </si>
  <si>
    <t>Assessment criteria 4-7. Monitoring of major energy consuming systems</t>
  </si>
  <si>
    <r>
      <t xml:space="preserve">Exemplary: </t>
    </r>
    <r>
      <rPr>
        <sz val="11"/>
        <color theme="1"/>
        <rFont val="Calibri"/>
        <family val="2"/>
      </rPr>
      <t>≥ 65% Improvement</t>
    </r>
  </si>
  <si>
    <t>Refrigerants in air-conditioning or refrigeration systems installed: GWP ≤ 10</t>
  </si>
  <si>
    <t>Direct Effect Life Cycle CO2 equivalent emissions (DELC CO2 e) of refrigerants: ≤ 100 kg CO2 e/kW cooling capacity</t>
  </si>
  <si>
    <t>Direct Effect Life Cycle CO2 equivalent emissions (DELC CO2 e) of refrigerants: ≤ 1000 kg CO2 e/kW cooling capacity</t>
  </si>
  <si>
    <t>Project brief and design</t>
  </si>
  <si>
    <t>Life cycle cost and service life planning</t>
  </si>
  <si>
    <t>Responsible construction practices</t>
  </si>
  <si>
    <t>Aftercare</t>
  </si>
  <si>
    <t>Visual comfort</t>
  </si>
  <si>
    <t>Indoor air quality</t>
  </si>
  <si>
    <t>Thermal comfort</t>
  </si>
  <si>
    <t>Microbial contamination</t>
  </si>
  <si>
    <t>Acoustic performance</t>
  </si>
  <si>
    <t>Safe access</t>
  </si>
  <si>
    <t>Natural Hazards</t>
  </si>
  <si>
    <t>Private space</t>
  </si>
  <si>
    <t>Moisture protection</t>
  </si>
  <si>
    <t>Energy efficiency</t>
  </si>
  <si>
    <t>Energy monitoring</t>
  </si>
  <si>
    <t>External lighting</t>
  </si>
  <si>
    <t>Low and zero carbon technologies</t>
  </si>
  <si>
    <t>Energy efficient cold storage</t>
  </si>
  <si>
    <t>Energy efficient transportation systems</t>
  </si>
  <si>
    <t>Energy Efficient Laboratory Systems</t>
  </si>
  <si>
    <t>Energy efficient equipment</t>
  </si>
  <si>
    <t>Drying space</t>
  </si>
  <si>
    <t>Energy performance of building structure and installations</t>
  </si>
  <si>
    <t>Public transport accessibility</t>
  </si>
  <si>
    <t>Proximity to amenities</t>
  </si>
  <si>
    <t>Alternative modes of transport</t>
  </si>
  <si>
    <t>Maximum car parking capacity</t>
  </si>
  <si>
    <t>Travel plan</t>
  </si>
  <si>
    <t>Home office</t>
  </si>
  <si>
    <t>Water consumption</t>
  </si>
  <si>
    <t>Water monitoring</t>
  </si>
  <si>
    <t>Water leak detection and prevention</t>
  </si>
  <si>
    <t>Water efficient equipment</t>
  </si>
  <si>
    <t>Life cycle impacts</t>
  </si>
  <si>
    <t>Responsible sourcing of materials</t>
  </si>
  <si>
    <t>Designing for robustness</t>
  </si>
  <si>
    <t>Construction waste management</t>
  </si>
  <si>
    <t>Recycled aggregates</t>
  </si>
  <si>
    <t>Operational waste</t>
  </si>
  <si>
    <t>Speculative floor and ceiling finishes</t>
  </si>
  <si>
    <t>Site selection</t>
  </si>
  <si>
    <t>Ecological value of site and protection of ecological features</t>
  </si>
  <si>
    <t>Enhancing site ecology</t>
  </si>
  <si>
    <t>Long term impact on biodiversity</t>
  </si>
  <si>
    <t>Building footprint</t>
  </si>
  <si>
    <t>Impacts of refrigerants</t>
  </si>
  <si>
    <t>NOx emissions</t>
  </si>
  <si>
    <t>Surface water run-off</t>
  </si>
  <si>
    <t>Reduction of night time light pollution</t>
  </si>
  <si>
    <t>Noise attenuation</t>
  </si>
  <si>
    <t>Building Performance by Key Environmental Performance Indicator</t>
  </si>
  <si>
    <t>Energy (consumption/production)</t>
  </si>
  <si>
    <t>Life cycle stage</t>
  </si>
  <si>
    <t>Intensity</t>
  </si>
  <si>
    <t>Greenhouse Gas Emissions</t>
  </si>
  <si>
    <t>Emissions to outdoor air, soil and water</t>
  </si>
  <si>
    <t>kg/yr</t>
  </si>
  <si>
    <t xml:space="preserve">Use of freshwater resource </t>
  </si>
  <si>
    <t>Construction waste and recovery</t>
  </si>
  <si>
    <t>Sourcing of materials</t>
  </si>
  <si>
    <t>PMV</t>
  </si>
  <si>
    <t>Indoor Air Quality</t>
  </si>
  <si>
    <t>Notes</t>
  </si>
  <si>
    <t>12a</t>
  </si>
  <si>
    <t>"INA" = Indicator Not Assessed. This will be the case where either the data required for the KPI is not gathered/measured by the building's project team or not assessed/quantified in BREEAM for a particular building type or assessment stage e.g. energy consumption for construction process at the design stage of assessment.</t>
  </si>
  <si>
    <t>"-" = KPI not applicable to building being assessed.</t>
  </si>
  <si>
    <t>Note</t>
  </si>
  <si>
    <t>Building operation</t>
  </si>
  <si>
    <t>Energy production</t>
  </si>
  <si>
    <t>Construction process</t>
  </si>
  <si>
    <t>kgCO2eq/yr</t>
  </si>
  <si>
    <t>Direct GHG emissions - Refrigerants</t>
  </si>
  <si>
    <t>Construction waste generated</t>
  </si>
  <si>
    <t>Materials responsibly sourced</t>
  </si>
  <si>
    <t>Formaldehyde concentration level</t>
  </si>
  <si>
    <t>Total volatile organic compound concentration</t>
  </si>
  <si>
    <t>2: The reported impact includes technologies that produce energy (on-site and/or near-site) as defined by Directive 2009/28/EC of the European Parliament and of the Council of 23 April 2009 on the promotion of the use of energy from renewable sources and amending and subsequently repealing Directives 2001/77/EC and 2003/30/EC.</t>
  </si>
  <si>
    <t>3: The reported impact includes energy consumption from construction plant, equipment and site accommodation. This KPI is not assessed/reported at the design stage of assessment/certification.</t>
  </si>
  <si>
    <t>6: The reported impact covers emissions from either one or a combination of space heating, cooling and hot water heating (refer to Pol02 Assessment Issue for scope of emissions)</t>
  </si>
  <si>
    <t>8: The reported impact is net water consumption i.e. accounts for any water recycling/rainwater collection used to off-set a potable site demand. This KPI is not assessed/reported at the design stage of assessment/certification.</t>
  </si>
  <si>
    <t>9: The reported impact covers non-hazardous waste generated. Where assessed and reported at the design stage of assessment this KPI is based on the target as required in assessment criterion 1.</t>
  </si>
  <si>
    <t>Cradle-to-grave</t>
  </si>
  <si>
    <t>BREEAM-NOR 2016 New Construction - Scoring and Reporting tool</t>
  </si>
  <si>
    <t>BREEAM-NOR 2016 New Construction - Scoring and Reporting tool: Assessment Details</t>
  </si>
  <si>
    <t>BREEAM-NOR 2016 New Construction - Scoring and Reporting tool: Assessment Issue Scoring</t>
  </si>
  <si>
    <t>BREEAM-NOR 2016 New Construction - Scoring and Reporting tool: Rating &amp; Key Performance Indicators</t>
  </si>
  <si>
    <t>BREEAM-NOR 2016 New Construction - Scoring and Reporting tool: Version Control</t>
  </si>
  <si>
    <t>Identifier</t>
  </si>
  <si>
    <t>Assessment Evidence Reference</t>
  </si>
  <si>
    <t>Assessment issue</t>
  </si>
  <si>
    <t>Issue criteria No. and/or compliance note</t>
  </si>
  <si>
    <t>Assessor's supporting notes/information</t>
  </si>
  <si>
    <t>e.g. Project A, First floor plan, rev05, 1/10/10. Supplied by F Fitzgerald (23/3/11)</t>
  </si>
  <si>
    <t>e.g. Plan indicates location of water meter in plant room located in south-west corner of the building.</t>
  </si>
  <si>
    <t>e.g. See identifier 1</t>
  </si>
  <si>
    <t>e.g. 1 and 2c</t>
  </si>
  <si>
    <t>e.g. Plan indicates vehicle parking within 1m of north façade and the provision of barriers to protect  façade.</t>
  </si>
  <si>
    <t>Assessment Reference Identifier</t>
  </si>
  <si>
    <t>Consulting engineer HVAC (RIV)</t>
  </si>
  <si>
    <t>Consulting engineer Electrical (RIE)</t>
  </si>
  <si>
    <t>Consulting engineer Engineering (RIB)</t>
  </si>
  <si>
    <t>Consulting engineer Environment (RIM)</t>
  </si>
  <si>
    <t>Note: If you are starting a new scoring and reporting please ensure you are using the latest template version of the BREEAM-NOR 2016 New Construction - Scoring and Reporting tool and not a version used for an existing/previous pre-assessment.</t>
  </si>
  <si>
    <t>BREEAM-NOR Assessor Signature</t>
  </si>
  <si>
    <t>BREEAM-NOR Accredited Professional</t>
  </si>
  <si>
    <t>BREEAM-NOR scheme</t>
  </si>
  <si>
    <t>BREEAM-NOR version</t>
  </si>
  <si>
    <t>BREEAM-NOR 2016</t>
  </si>
  <si>
    <t>Approved innovation credits</t>
  </si>
  <si>
    <t>0.9</t>
  </si>
  <si>
    <t>Initial Release Version of BREEAM-NOR 2016 New Construction - Scoring and Reporting tool (90%)</t>
  </si>
  <si>
    <t>Warehouse storage / distribution</t>
  </si>
  <si>
    <t>General office building</t>
  </si>
  <si>
    <t>Shop</t>
  </si>
  <si>
    <t>Individual dwelling</t>
  </si>
  <si>
    <t>Process / manufacturing unit</t>
  </si>
  <si>
    <t>Office with research and development areas</t>
  </si>
  <si>
    <t>Shopping centre</t>
  </si>
  <si>
    <t>Collection of individual dwellings/dwelling types</t>
  </si>
  <si>
    <t>Vehicle servicing unit</t>
  </si>
  <si>
    <t>Retail park/warehouse</t>
  </si>
  <si>
    <t>Apartment Blocks</t>
  </si>
  <si>
    <t>Over the counter’ service provider</t>
  </si>
  <si>
    <t>Showroom</t>
  </si>
  <si>
    <t>Restaurant</t>
  </si>
  <si>
    <t>Café</t>
  </si>
  <si>
    <t>Drinking establishment</t>
  </si>
  <si>
    <t>Hot food takeaway</t>
  </si>
  <si>
    <t>Exemplary level and innovation</t>
  </si>
  <si>
    <t>EXEMPLARY LEVEL AND INNOVATION</t>
  </si>
  <si>
    <t>Design Stage (DS)</t>
  </si>
  <si>
    <t>Post-Construction Stage (PCS)</t>
  </si>
  <si>
    <t>sjekk alle rullegardiner</t>
  </si>
  <si>
    <t>Customised checklists for moisture protection are prepared and used</t>
  </si>
  <si>
    <t>Use of freshwater resource (net water consumption, i.e. consumption minus any recycled water) - site processes</t>
  </si>
  <si>
    <t>KgCO2eq /10% project value (ref capital cost Man 02)</t>
  </si>
  <si>
    <t>Distance (total) - waste transport from site</t>
  </si>
  <si>
    <t>6 or more</t>
  </si>
  <si>
    <t>An individual is responsible for implementing and maintaining the specified construction practices</t>
  </si>
  <si>
    <t>Key Performance Indicators: Construction site energy use.</t>
  </si>
  <si>
    <t>KPI 2 - 17 må ha _INA hvis de ikke er aktuelle</t>
  </si>
  <si>
    <t>Instruction: Please insert the relevant number of credits achieved in cell G176.</t>
  </si>
  <si>
    <t>hør med anders om det skal være lov å ikke fylle ut koi 2-19 hvis man ikke vet - skal man da fremdeles få poeng?</t>
  </si>
  <si>
    <t>hvis tid ta bort enheter etter grå celler kpi 2-19</t>
  </si>
  <si>
    <t>gå over alle pre rezuiste - hvis neio skal ikke mørklegge kommentarfelt</t>
  </si>
  <si>
    <t>på alle poeng som rundes ned sjekk mod - tilsvarende ene 07</t>
  </si>
  <si>
    <t>Req. E1 - E3</t>
  </si>
  <si>
    <t>Req. E4</t>
  </si>
  <si>
    <t xml:space="preserve">Instruction: If residential areas is the only 'significant majority' contributor then please confirm whether the equipment is compliant with criteria E1 - E3 or criterion E4. Where E4, only one credit is available. </t>
  </si>
  <si>
    <t>A compliant internal drying space with posts and footings, or fixings capable drying line</t>
  </si>
  <si>
    <t>Air leakage testing combined with a thermographic survey of the building is performed to confirm the requirements a-d</t>
  </si>
  <si>
    <t>Any errors has been repaired and the building is inspected again to verify that it matches the requirements 4:a-d</t>
  </si>
  <si>
    <t>Energy requirements is less or equal to requirement in NS 3701 (passive house)</t>
  </si>
  <si>
    <t>Energy requirements is less or equal to requirement in NS 3700 (low-energy dwelling class 2)</t>
  </si>
  <si>
    <t>bolig</t>
  </si>
  <si>
    <t>yrkesbygg</t>
  </si>
  <si>
    <t>Building type category (for purpose of Tra01 issue assessment):</t>
  </si>
  <si>
    <t>5. Cycle storage and facilities</t>
  </si>
  <si>
    <t>5. Cycle storage (1 credit)</t>
  </si>
  <si>
    <t>Alternative provision   Option</t>
  </si>
  <si>
    <t>Exemplary: Second option implemented</t>
  </si>
  <si>
    <r>
      <rPr>
        <sz val="11"/>
        <color theme="1"/>
        <rFont val="Calibri"/>
        <family val="2"/>
      </rPr>
      <t xml:space="preserve">≥4 - </t>
    </r>
    <r>
      <rPr>
        <sz val="11"/>
        <color theme="1"/>
        <rFont val="Calibri"/>
        <family val="2"/>
        <scheme val="minor"/>
      </rPr>
      <t>&lt;8</t>
    </r>
  </si>
  <si>
    <r>
      <rPr>
        <sz val="11"/>
        <color theme="1"/>
        <rFont val="Calibri"/>
        <family val="2"/>
      </rPr>
      <t>≥</t>
    </r>
    <r>
      <rPr>
        <sz val="11"/>
        <color theme="1"/>
        <rFont val="Calibri"/>
        <family val="2"/>
        <scheme val="minor"/>
      </rPr>
      <t>8</t>
    </r>
  </si>
  <si>
    <t>Building type</t>
  </si>
  <si>
    <t>1 poeng</t>
  </si>
  <si>
    <t>2 poeng</t>
  </si>
  <si>
    <t>Type 3 - University and higher education</t>
  </si>
  <si>
    <t>Type 3 - Retail only</t>
  </si>
  <si>
    <t>Staff plus visitors, with a reasonably constant stream of visitors (Including pre-school and school)</t>
  </si>
  <si>
    <t>Transport hubs</t>
  </si>
  <si>
    <t>Staff building: user occupants only (occasional business related visitors e.g. office or industrial building)</t>
  </si>
  <si>
    <t>Core staff plus large numbers of visitors (e.g. retail, higher education)</t>
  </si>
  <si>
    <t>Rural buildings with predictable occupancy pattern, mostly staff occupants or staff plus residential visitors (e.g. remote/rural research centre)</t>
  </si>
  <si>
    <t>Rural buildings with a few core staff plus large numbers of visitors</t>
  </si>
  <si>
    <t>Type 3U</t>
  </si>
  <si>
    <t>Type 3R</t>
  </si>
  <si>
    <t>Public transport accessibility index, sourced from the separate BREEAM Tra 01 calculator</t>
  </si>
  <si>
    <t>Buildings Accessibility Index (sourced from issue Tra01)</t>
  </si>
  <si>
    <t>tra 4 - for eks retail . Skal det da være 2 poeng tilgjengelig eller forsvinner da poeng for tra 4?</t>
  </si>
  <si>
    <t>Water Consumption from building micro-components</t>
  </si>
  <si>
    <t>Alternative approach data</t>
  </si>
  <si>
    <t>Overall component level of performance</t>
  </si>
  <si>
    <t>Greywater and rainwater level achieved</t>
  </si>
  <si>
    <t>&gt; 95% of WC/urinal flushing demand is met using recycled non potable water</t>
  </si>
  <si>
    <t>Baseline</t>
  </si>
  <si>
    <t>Level 1</t>
  </si>
  <si>
    <t>Level 2</t>
  </si>
  <si>
    <t>Level 3</t>
  </si>
  <si>
    <t>Level 4</t>
  </si>
  <si>
    <t>Level 5</t>
  </si>
  <si>
    <t>person</t>
  </si>
  <si>
    <t>ta en sjekk pre requiste - og om de m være oppfylt for å få poeng for resten</t>
  </si>
  <si>
    <t>Each product (EPD) comprises at least 25% of the product group´s (Table 32) area, volume or weight</t>
  </si>
  <si>
    <t>Note: at least 80% of the material must be responsibly sourced to achieve this credit.</t>
  </si>
  <si>
    <t>Maximixing recovery rate</t>
  </si>
  <si>
    <t>Total % (weight or volume) of high-grade aggregate that is obtained on site/from waste processing 30km/secondary aggregate</t>
  </si>
  <si>
    <t>Dedicated space(s) to cater for the segregation and storage of operational recyclable waste volumes</t>
  </si>
  <si>
    <t>The dedicated space(s) and equipment are clearly labelled, accessible and with appropriate capacity</t>
  </si>
  <si>
    <t>For tenanted areas: finishes have been installed in a show area only. Specific occupant: selected (or agreed to) finishes</t>
  </si>
  <si>
    <t>Previously developed land</t>
  </si>
  <si>
    <t>The site is deemed to be significantly contaminated (AC 2 - 4)</t>
  </si>
  <si>
    <t>Land within the construction zone is defined as ‘land of low ecological value</t>
  </si>
  <si>
    <t>A SQE has been appointed prior to commencement and confirms all relevant legislation has been complied</t>
  </si>
  <si>
    <t>A landscape and habitat management plan appropriate to the site is produced</t>
  </si>
  <si>
    <t>alle er N/A</t>
  </si>
  <si>
    <t>bare 2 er tilgjengelig - TAS IKKE MED- TA bort *0 hvis skal være med</t>
  </si>
  <si>
    <t>Does this industrial building have a heated or cooled operational area? (Pol 01, Pol 02)</t>
  </si>
  <si>
    <t>Does this industrial building have an office area? (Pol 01, Pol 02, Hea 03)</t>
  </si>
  <si>
    <t>reporting energy consumption pol 02 - ta med denne under ene 01 eller i pol 02? Hva hvis man ikek rapporterer?</t>
  </si>
  <si>
    <t>gå over conditioan lformatin pre req. Legg til please select</t>
  </si>
  <si>
    <t>Neste runde</t>
  </si>
  <si>
    <t>VOC emission levels: Number of product categories (A-J) have complied with requirements listed in Table 14</t>
  </si>
  <si>
    <t>kWh/m2yr</t>
  </si>
  <si>
    <t>Calculated delivered energy demand to achieve an energy label C</t>
  </si>
  <si>
    <t>Calculated actual delivered energy demand</t>
  </si>
  <si>
    <t>Energy consumption - space heating</t>
  </si>
  <si>
    <t>Energy consumption - ventilation heating</t>
  </si>
  <si>
    <t>Energy consumption - hot water</t>
  </si>
  <si>
    <t>1: Modelled using approved building energy software compliant with the BREEAM definition. Approved Energy Software are software approved according to the specification in NS 3031:2014.</t>
  </si>
  <si>
    <t>4: The reported impact covers transport movements and impacts resulting from delivery of the majority construction materials to the site and construction waste from the site. Transport of materials from the factory gate to the building site, including any transport, intermediate storage and distribution.Materials used for major building elements, (i.e. those defined as mandatory in the BREEAM International Mat 01 Calculator tool: walls, roof, floors, windows), including insulation materials. This KPI is not assessed/reported at the design stage of assessment/certification.</t>
  </si>
  <si>
    <t>Reduction (in %) of climate gas emissions from new materials compared to a reference building</t>
  </si>
  <si>
    <t>Climate gas emissions from new materials for the reference building</t>
  </si>
  <si>
    <t>Climate gas emissions from new materials for the project</t>
  </si>
  <si>
    <t>KPI: Climate gas emissions from new materials for the reference building</t>
  </si>
  <si>
    <t>KPI: Climate gas emissions from new materials for the project</t>
  </si>
  <si>
    <t>kg CO2 e/m2yr</t>
  </si>
  <si>
    <t>kgCO2eq/m2yr</t>
  </si>
  <si>
    <t>5: The reported impact covers the construction materials that make-up the main building elements (over a 60 year study period). The LCA includes at least the mandatory building elements indicated in the 'Materials assessment scope' section of the BREEAM International Mat 01 calculator (where present in the building). The mandatory requirements identified in the 'Materials assessment tool, method and data' section of the BREEAM International Mat 01 calculator have been met.</t>
  </si>
  <si>
    <t xml:space="preserve">KPI: Total net Water Consumption </t>
  </si>
  <si>
    <t>KPI: Default building occupancy</t>
  </si>
  <si>
    <t>7: The reported impact includes net water consumption from the micro-components utilised by building occupants for sanitary purposes. The impact accounts for  water recycling/rainwater collection, where used for permissible non-potable water demands.</t>
  </si>
  <si>
    <t>Nuber of EPD's  collected for different building products</t>
  </si>
  <si>
    <t>Number of EPD's collected for level three product groups in the NS 3451</t>
  </si>
  <si>
    <t>Number of products satisfies ECO product/EU Ecolabel/Nordic Ecolabel criteria</t>
  </si>
  <si>
    <t>Percentage of available responsible sourcing points achieved</t>
  </si>
  <si>
    <t>10: The reported impact covers the proportion of the key building elements present and assessed by BREEAM that are responsibly sourced, where responsibly sourced is defined as follows; where at least 80% of the materials that make-up an element achieve certification in accordance with one of the responsible sourcing schemes defined in Mat 03.</t>
  </si>
  <si>
    <t>12: The reported impact covers the Predicted percentage dissatisfied (PPD). This is an index that establishes a quantitative prediction of the percentage of thermally dissatisfied people who feel too cool or too warm. For the purposes of ISO 7730, thermally dissatisfied people are those who will feel hot, warm, cool or cold.</t>
  </si>
  <si>
    <t>12a: Predicted Mean Vote (PMV) The PMV is an index that predicts the mean votes of a large group of persons on the seven-point thermal sensation scale based on the heat balance of the human body. Thermal balance is obtained when the internal heat production in the body is equal to the loss of heat to the environment.</t>
  </si>
  <si>
    <t>11: Environmental Product Declarations (EPDs) developed and verified according to EN 15804, EN ISO 14025 or ISO 21930.</t>
  </si>
  <si>
    <t>13: The total volatile organic compound (TVOC) concentration is measured post construction (but pre-occupancy) over 8 hours. Formaldehyde concentration level is measured post construction (but pre-occupancy) averaged over 30 minutes. Both KPI's are measured in accordance with ISO standards. At the design stage of assessment no data is available for this KPI as they are both measured once the building has been constructed (but pre-occupancy) for the purpose of post construction assessment.</t>
  </si>
  <si>
    <t>KPI</t>
  </si>
  <si>
    <t>27a</t>
  </si>
  <si>
    <t>27b</t>
  </si>
  <si>
    <t>kpi_28u</t>
  </si>
  <si>
    <t>kpi_29u</t>
  </si>
  <si>
    <t>29a</t>
  </si>
  <si>
    <t>33a</t>
  </si>
  <si>
    <t>33b</t>
  </si>
  <si>
    <t>Assessment Criteria - Ozone Depleting Potential (ODP)</t>
  </si>
  <si>
    <t>Legislation prohibits the use of ozone depleting substances (Assessment Details)</t>
  </si>
  <si>
    <t>Assessment Criteria - Global Warming Potential (GWP)</t>
  </si>
  <si>
    <t>Direct Effect Life Cycle CO2 equivalent emissions (DELC CO2 e) of refrigerants</t>
  </si>
  <si>
    <t>kg CO2 e/kW cooling capacity</t>
  </si>
  <si>
    <t>Key Performance Indicator</t>
  </si>
  <si>
    <t>Cooling/Heating capacity of the system</t>
  </si>
  <si>
    <t>34a</t>
  </si>
  <si>
    <t>Yes - 1 c</t>
  </si>
  <si>
    <t>Yes - 2 c</t>
  </si>
  <si>
    <r>
      <t>3. El. recharging stations (</t>
    </r>
    <r>
      <rPr>
        <sz val="11"/>
        <color theme="1"/>
        <rFont val="Calibri"/>
        <family val="2"/>
      </rPr>
      <t>≥</t>
    </r>
    <r>
      <rPr>
        <sz val="11"/>
        <color theme="1"/>
        <rFont val="Calibri"/>
        <family val="2"/>
        <scheme val="minor"/>
      </rPr>
      <t xml:space="preserve"> 30%)</t>
    </r>
  </si>
  <si>
    <r>
      <t>3. El. recharging stations (</t>
    </r>
    <r>
      <rPr>
        <sz val="11"/>
        <color theme="1"/>
        <rFont val="Calibri"/>
        <family val="2"/>
      </rPr>
      <t>≥</t>
    </r>
    <r>
      <rPr>
        <sz val="11"/>
        <color theme="1"/>
        <rFont val="Calibri"/>
        <family val="2"/>
        <scheme val="minor"/>
      </rPr>
      <t xml:space="preserve"> 50%)</t>
    </r>
  </si>
  <si>
    <t>No/PS</t>
  </si>
  <si>
    <t>Ta en sjekk slik at det er plese select på alle rullegardiner på assessment details</t>
  </si>
  <si>
    <t>0.99</t>
  </si>
  <si>
    <t>Initial Release Version of BREEAM-NOR 2016 New Construction - Scoring and Reporting tool (99%)</t>
  </si>
  <si>
    <t>Please add capital cost: Man 02</t>
  </si>
  <si>
    <t>Measure-ment</t>
  </si>
  <si>
    <t>Does the building require the use of refrigerants within its installed plant/systems? (Pol 01)</t>
  </si>
  <si>
    <t>No, confirmed by appropriate person</t>
  </si>
  <si>
    <t>Others, project team</t>
  </si>
  <si>
    <t>Criterion 16 within the issue Hea 02 (Risk assessment) has been achieved  (sourced from issue Hea 02)</t>
  </si>
  <si>
    <t>0.991</t>
  </si>
  <si>
    <t>Higher Education - University</t>
  </si>
  <si>
    <t>Preschool - Secondary Education</t>
  </si>
  <si>
    <t>0.992</t>
  </si>
  <si>
    <t>0.993</t>
  </si>
  <si>
    <t>Pol 01</t>
  </si>
  <si>
    <t>Pol 02</t>
  </si>
  <si>
    <t>Pol 03</t>
  </si>
  <si>
    <t>Pol 04</t>
  </si>
  <si>
    <t>Pol 05</t>
  </si>
  <si>
    <t>Inn 01 - Man 05 Aftercare</t>
  </si>
  <si>
    <t>Inn 02 - Hea 02 Indoor air quality</t>
  </si>
  <si>
    <t>Inn 03 - Tra 03 Alternative modes of transport</t>
  </si>
  <si>
    <t>Inn 04 - Wat 01 Water consumption</t>
  </si>
  <si>
    <t>Inn 07 - Wst 01 Construction site waste man.</t>
  </si>
  <si>
    <t>Inn 08 - Wst 02 Recycled aggregatess</t>
  </si>
  <si>
    <t xml:space="preserve">Inn 09 - Approved innovation credits </t>
  </si>
  <si>
    <t>Bespoke</t>
  </si>
  <si>
    <t>Lim inn her</t>
  </si>
  <si>
    <t>BREEAM REFERANSE</t>
  </si>
  <si>
    <t>BREEAM-Topic EMNE</t>
  </si>
  <si>
    <t>Available credits TILGJENGELIGE POENG</t>
  </si>
  <si>
    <t>Is credits relevant for the project? Yes/No POENG AKTUELLE FOR PROSJEKTET? JA/NEI</t>
  </si>
  <si>
    <t>Ledelse:</t>
  </si>
  <si>
    <t>Project brief &amp; design</t>
  </si>
  <si>
    <t>YES</t>
  </si>
  <si>
    <t>Commissioning and handover</t>
  </si>
  <si>
    <t>Helse og innemiljø:</t>
  </si>
  <si>
    <r>
      <rPr>
        <b/>
        <sz val="9"/>
        <color theme="1"/>
        <rFont val="Calibri"/>
        <family val="2"/>
        <scheme val="minor"/>
      </rPr>
      <t>Visual comfort:</t>
    </r>
    <r>
      <rPr>
        <sz val="9"/>
        <color theme="1"/>
        <rFont val="Calibri"/>
        <family val="2"/>
        <scheme val="minor"/>
      </rPr>
      <t xml:space="preserve">
Daylighting</t>
    </r>
  </si>
  <si>
    <t>Internal and External lighting</t>
  </si>
  <si>
    <r>
      <rPr>
        <b/>
        <sz val="9"/>
        <color theme="1"/>
        <rFont val="Calibri"/>
        <family val="2"/>
        <scheme val="minor"/>
      </rPr>
      <t>Indoor air quality:</t>
    </r>
    <r>
      <rPr>
        <sz val="9"/>
        <color theme="1"/>
        <rFont val="Calibri"/>
        <family val="2"/>
        <scheme val="minor"/>
      </rPr>
      <t xml:space="preserve">
Minimising sources of air pollution</t>
    </r>
  </si>
  <si>
    <t>Laboratory fume cupboard and containment areas</t>
  </si>
  <si>
    <t>NO</t>
  </si>
  <si>
    <t>Natural hazards</t>
  </si>
  <si>
    <t>Energi:</t>
  </si>
  <si>
    <t>Ene 02b</t>
  </si>
  <si>
    <t>External Lighting</t>
  </si>
  <si>
    <t>Energy efficient laboratory systems</t>
  </si>
  <si>
    <t>Energy performance of building structure</t>
  </si>
  <si>
    <t>Transport:</t>
  </si>
  <si>
    <t>Tra 03a</t>
  </si>
  <si>
    <t>Tra 03b</t>
  </si>
  <si>
    <t>Vann:</t>
  </si>
  <si>
    <t>Materialer:</t>
  </si>
  <si>
    <t xml:space="preserve">Responsible sourcing of materials </t>
  </si>
  <si>
    <t>Avfall:</t>
  </si>
  <si>
    <t>Wst 03a</t>
  </si>
  <si>
    <t>Wst 03b</t>
  </si>
  <si>
    <t>Speculative floor &amp; ceiling finishes</t>
  </si>
  <si>
    <t>Arealbruk og økologi:</t>
  </si>
  <si>
    <t>Forurensning:</t>
  </si>
  <si>
    <t>Impact of refrigerants</t>
  </si>
  <si>
    <t>Flood risk management and reducing surface water run-off</t>
  </si>
  <si>
    <t xml:space="preserve">Reduction of Night Time Light Pollution </t>
  </si>
  <si>
    <t>Reduction of noise pollution</t>
  </si>
  <si>
    <t>Innovasjon:</t>
  </si>
  <si>
    <t>Construction site waste management</t>
  </si>
  <si>
    <t>BESPOKE</t>
  </si>
  <si>
    <t>MÅ SJEKKE</t>
  </si>
  <si>
    <t>sjekkes</t>
  </si>
  <si>
    <t>1.00</t>
  </si>
  <si>
    <r>
      <t xml:space="preserve">Updated to BREEAM-NOR 2016 Pre Assessment Estimator v1.04.
</t>
    </r>
    <r>
      <rPr>
        <b/>
        <sz val="11"/>
        <color indexed="8"/>
        <rFont val="Calibri"/>
        <family val="2"/>
      </rPr>
      <t xml:space="preserve">Pol 01: </t>
    </r>
    <r>
      <rPr>
        <sz val="11"/>
        <color indexed="8"/>
        <rFont val="Calibri"/>
        <family val="2"/>
      </rPr>
      <t>Available credits for  builings with and without refrigerants within its installed plant/systems: 3 credits.</t>
    </r>
  </si>
  <si>
    <r>
      <t xml:space="preserve">Initial Release Version of BREEAM-NOR 2016 New Construction - Scoring and Reporting tool (99,2%). Updated to BREEAM-NOR 2016 Pre Assessment Estimator v1.04.
</t>
    </r>
    <r>
      <rPr>
        <b/>
        <sz val="11"/>
        <color indexed="8"/>
        <rFont val="Calibri"/>
        <family val="2"/>
      </rPr>
      <t>Pol 02:</t>
    </r>
    <r>
      <rPr>
        <sz val="11"/>
        <color indexed="8"/>
        <rFont val="Calibri"/>
        <family val="2"/>
      </rPr>
      <t xml:space="preserve"> Industrial building, If the building does not contain an office area, and the operational area is designed to be unheated without significant hot water, 0 credits available.
</t>
    </r>
    <r>
      <rPr>
        <b/>
        <sz val="11"/>
        <color indexed="8"/>
        <rFont val="Calibri"/>
        <family val="2"/>
      </rPr>
      <t>Tra 01:</t>
    </r>
    <r>
      <rPr>
        <sz val="11"/>
        <color indexed="8"/>
        <rFont val="Calibri"/>
        <family val="2"/>
      </rPr>
      <t xml:space="preserve"> Education, If Preschool - Secondary Education, 3 credits available (adjusted from 5 credits).
</t>
    </r>
    <r>
      <rPr>
        <b/>
        <sz val="11"/>
        <color indexed="8"/>
        <rFont val="Calibri"/>
        <family val="2"/>
      </rPr>
      <t xml:space="preserve">Assessment Details: </t>
    </r>
    <r>
      <rPr>
        <sz val="11"/>
        <color indexed="8"/>
        <rFont val="Calibri"/>
        <family val="2"/>
      </rPr>
      <t>Project type, new Construction (fully fitted) is the only project type available</t>
    </r>
  </si>
  <si>
    <t>Issue</t>
  </si>
  <si>
    <t>Capital cost</t>
  </si>
  <si>
    <t>mill NOK</t>
  </si>
  <si>
    <t>Comment</t>
  </si>
  <si>
    <r>
      <t xml:space="preserve">Initial Release Version of BREEAM-NOR 2016 New Construction - Scoring and Reporting tool (99,1%). Updated to BREEAM-NOR 2016 Pre Assessment Estimator v1.03.
</t>
    </r>
    <r>
      <rPr>
        <b/>
        <sz val="11"/>
        <color indexed="8"/>
        <rFont val="Calibri"/>
        <family val="2"/>
      </rPr>
      <t>Pol 01:</t>
    </r>
    <r>
      <rPr>
        <sz val="11"/>
        <color indexed="8"/>
        <rFont val="Calibri"/>
        <family val="2"/>
      </rPr>
      <t xml:space="preserve"> Assessment details: Changed question ODP legislation to does the building contain refrigerants.
</t>
    </r>
    <r>
      <rPr>
        <b/>
        <sz val="11"/>
        <color indexed="8"/>
        <rFont val="Calibri"/>
        <family val="2"/>
      </rPr>
      <t>Tra 04:</t>
    </r>
    <r>
      <rPr>
        <sz val="11"/>
        <color indexed="8"/>
        <rFont val="Calibri"/>
        <family val="2"/>
      </rPr>
      <t xml:space="preserve"> Adjusted to 0 credits available when retail. 
</t>
    </r>
    <r>
      <rPr>
        <b/>
        <sz val="11"/>
        <color indexed="8"/>
        <rFont val="Calibri"/>
        <family val="2"/>
      </rPr>
      <t xml:space="preserve">Ene 05: </t>
    </r>
    <r>
      <rPr>
        <sz val="11"/>
        <color indexed="8"/>
        <rFont val="Calibri"/>
        <family val="2"/>
      </rPr>
      <t>If the building does not contain commercial/industrial sized refrigeration system(s), 0 credits available.</t>
    </r>
  </si>
  <si>
    <t>1.01</t>
  </si>
  <si>
    <t>Building description</t>
  </si>
  <si>
    <t>1.02</t>
  </si>
  <si>
    <t>Yes - 1 credit</t>
  </si>
  <si>
    <t>Yes - 2 credits</t>
  </si>
  <si>
    <r>
      <t xml:space="preserve">LE 05: </t>
    </r>
    <r>
      <rPr>
        <sz val="11"/>
        <color theme="1"/>
        <rFont val="Calibri"/>
        <family val="2"/>
        <scheme val="minor"/>
      </rPr>
      <t xml:space="preserve">Corrected according to manual, AC4: </t>
    </r>
    <r>
      <rPr>
        <i/>
        <sz val="11"/>
        <color theme="1"/>
        <rFont val="Calibri"/>
        <family val="2"/>
        <scheme val="minor"/>
      </rPr>
      <t>where three or less of the criteria are applicable to the assessed development (as confirmed by the SQE), two credits can be awarded where all of the applicable criteria are achieved.</t>
    </r>
  </si>
  <si>
    <t>Tightness Testing and Thermographic survey is conducted in accordance NS-EN ISO 9972:2015 and NS-EN 13187</t>
  </si>
  <si>
    <t>Scoring and Reporting tool, version:</t>
  </si>
  <si>
    <t>7 or less products specified: all meet rqmts</t>
  </si>
  <si>
    <t>5 or less products specified: all meet rqmts</t>
  </si>
  <si>
    <t>Building name:</t>
  </si>
  <si>
    <r>
      <t xml:space="preserve">Assessment details: </t>
    </r>
    <r>
      <rPr>
        <sz val="11"/>
        <color theme="1"/>
        <rFont val="Calibri"/>
        <family val="2"/>
        <scheme val="minor"/>
      </rPr>
      <t>Added building description.</t>
    </r>
    <r>
      <rPr>
        <b/>
        <sz val="11"/>
        <color theme="1"/>
        <rFont val="Calibri"/>
        <family val="2"/>
        <scheme val="minor"/>
      </rPr>
      <t xml:space="preserve">
Wat 02:</t>
    </r>
    <r>
      <rPr>
        <sz val="11"/>
        <color theme="1"/>
        <rFont val="Calibri"/>
        <family val="2"/>
        <scheme val="minor"/>
      </rPr>
      <t xml:space="preserve"> Corrected according to manual, added option N/A to Existing BMS connection.</t>
    </r>
    <r>
      <rPr>
        <b/>
        <sz val="11"/>
        <color theme="1"/>
        <rFont val="Calibri"/>
        <family val="2"/>
        <scheme val="minor"/>
      </rPr>
      <t xml:space="preserve">
Hea 02: </t>
    </r>
    <r>
      <rPr>
        <sz val="11"/>
        <color theme="1"/>
        <rFont val="Calibri"/>
        <family val="2"/>
        <scheme val="minor"/>
      </rPr>
      <t>Corrected according to manual: minimum standards. crit 1+7: Very good, crit 1+9: Outstanding</t>
    </r>
  </si>
  <si>
    <r>
      <t>Hea 02:</t>
    </r>
    <r>
      <rPr>
        <sz val="11"/>
        <color theme="1"/>
        <rFont val="Calibri"/>
        <family val="2"/>
        <scheme val="minor"/>
      </rPr>
      <t xml:space="preserve"> Corrected minimum standard in tool according to manual: min 2 credits for VG, min 3 credits for E and O (criteria 6 and 8 includes criteria 1).</t>
    </r>
  </si>
  <si>
    <t>poeng hvis vanlig</t>
  </si>
  <si>
    <t>poeng hvis bespoke</t>
  </si>
  <si>
    <t>2 like gir  b</t>
  </si>
  <si>
    <t>2 ulike gir a</t>
  </si>
  <si>
    <t>1 for a, 2 for b</t>
  </si>
  <si>
    <t>automatisk</t>
  </si>
  <si>
    <t>Visual comfort:
Daylighting</t>
  </si>
  <si>
    <t>Indoor air quality:
Minimising sources of air pollution</t>
  </si>
  <si>
    <t>sjekk riktig poeng</t>
  </si>
  <si>
    <t>sjekk type</t>
  </si>
  <si>
    <t>ikke sjekk, ikke avhengig av type</t>
  </si>
  <si>
    <t>1.03</t>
  </si>
  <si>
    <t>Sjekkes: med mindre annet er skrevet skal alle være non residential</t>
  </si>
  <si>
    <t xml:space="preserve"> 2/4 (non residential/residential) </t>
  </si>
  <si>
    <t>Sjekkes
Alle bygg: Pedestrian and cyclist safety (all buildings) (1p), 1-11
Inclusive and accessible design (non-residential only), 1p, 12-14
Inclusive and accessible design (residential only), 1p, 15-16, 2p 15-15</t>
  </si>
  <si>
    <t>Inclusive and accessible design</t>
  </si>
  <si>
    <t>Pedestrian and cyclist safety</t>
  </si>
  <si>
    <r>
      <rPr>
        <b/>
        <sz val="11"/>
        <color theme="1"/>
        <rFont val="Calibri"/>
        <family val="2"/>
        <scheme val="minor"/>
      </rPr>
      <t xml:space="preserve">Disclaimer </t>
    </r>
    <r>
      <rPr>
        <sz val="11"/>
        <color theme="1"/>
        <rFont val="Calibri"/>
        <family val="2"/>
        <scheme val="minor"/>
      </rPr>
      <t xml:space="preserve">
Thank you for downloading and using the BREEAM-NOR 2016 New Construction - Scoring and Reporting tool. 
If you are using the Scoring and Reporting tool for the first time please take a few moments to read the following: 
The Scoring and Reporting tool is the property of Grønn Byggallianse and BRE Global Ltd and is made publicly available for information purposes only. Its use for testing, assessment, certification or approval is not permitted. The results presented are indicative only of a building's potential performance and are based on a simplified, informal assessment and unverified commitments. The results do not represent a formal certified BREEAM-NOR assessment or rating and must not be communicated or presented as a BREEAM-NOR rating. Grønn Byggallianse/BRE Global Ltd accepts no responsibility for any actions taken as a result of information presented or interpreted by the BREEAM-NOR Scoring and Reporting tool. </t>
    </r>
  </si>
  <si>
    <r>
      <rPr>
        <b/>
        <sz val="11"/>
        <color theme="1"/>
        <rFont val="Calibri"/>
        <family val="2"/>
        <scheme val="minor"/>
      </rPr>
      <t xml:space="preserve">Starting the scoring and Reporting tool </t>
    </r>
    <r>
      <rPr>
        <sz val="11"/>
        <color theme="1"/>
        <rFont val="Calibri"/>
        <family val="2"/>
        <scheme val="minor"/>
      </rPr>
      <t xml:space="preserve">
You have downloaded and opened the template version of the BREEAM-NOR 2016 Scoring and Reporting tool. The template version must always be used to start a new pre-assessment of a building. 
To begin a Scoring and Reporting of a building you must first define a few characteristics of the building requiring pre-assessment in the Assessment Details worksheet. This information ensures the Scoring and Reporting tool selects the correct number of BREEAM-NOR issues and credits for the building. </t>
    </r>
  </si>
  <si>
    <r>
      <rPr>
        <b/>
        <sz val="11"/>
        <color theme="1"/>
        <rFont val="Calibri"/>
        <family val="2"/>
        <scheme val="minor"/>
      </rPr>
      <t>Completing scoring and reporting</t>
    </r>
    <r>
      <rPr>
        <sz val="11"/>
        <color theme="1"/>
        <rFont val="Calibri"/>
        <family val="2"/>
        <scheme val="minor"/>
      </rPr>
      <t xml:space="preserve">
These questions are arranged by assessment issue. The number of indicative BREEAM-NOR credits achieved and overall performance will depend on your response to each question. In most cases questions are answered by entering Yes or No if the criteria is compliant to the assessment criteria. 
Before proceeding with the scoring and reporting it is recommended that you save a copy of the Scoring and Reporting Tool using the building name and date as a filename, for example: BREEAM-NOR 2016 - Scoring and Reporting Tool_v1.0 - Office HQ 1/11/16.</t>
    </r>
  </si>
  <si>
    <t>Utviklet for Grønn Byggallianse av Asplan Viak</t>
  </si>
  <si>
    <t>, a qualified BREEAM-NOR assessor working on behalf of  confirm that the content of this report is to the best of my knowledge a true and accurate reflection of the performance of the above named building, as measured against the assessment criteria and reporting requirements of the BREEAM-NOR Scheme Document (SD5075NOR). Furthermore, I confirm that this assessment and the information on which it is based has been checked and verified in accordance with Grønn Byggallianse/BRE Global Ltd's UKAS accredited BREEAM-NOR operating procedures for BREEAM-NOR assessments and assessors, as described in the  technical scheme document (SD5075NOR) and associated BREEAM-NOR operational documents.</t>
  </si>
  <si>
    <t>This Scoring and Reporting tool is the property of Grønn Byggallianse/BRE Global Ltd and is made publicly available for information purposes only. Its use for testing, assessment, certification or approval is not permitted. The results presented are indicative only of a building's potential performance which is based on a simplified, informal assessment and unverified commitments. The results do not represent a formal certified BREEAM-NOR assessment or rating and must not be communicated as such. Grønn Byggallianse/BRE Global Ltd accepts no responsibility for any actions taken as a result of information presented or interpreted by the BREEAM-NOR 2016 New Construction - Scoring and Reporting tool. To carry out a formal BREEAM-NOR assessment contact a licensed BREEAM-NOR Assessor organisation. A list of licensed BREEAM-NOR Assessors is available from the www.byggalliansen.no and Green Book Live website: www.greenbooklive.com</t>
  </si>
  <si>
    <t>The BREEAM and BREEAM-NOR name and logo are registered trademarks of the Building Research Establishment Limited.</t>
  </si>
  <si>
    <r>
      <t xml:space="preserve">Assessment details/Assessment Issue Scoring: </t>
    </r>
    <r>
      <rPr>
        <sz val="11"/>
        <color theme="1"/>
        <rFont val="Calibri"/>
        <family val="2"/>
        <scheme val="minor"/>
      </rPr>
      <t>Corrected error: when editing text in Assessor comments/notes, the existing text disappeared.</t>
    </r>
  </si>
  <si>
    <t>1.04</t>
  </si>
  <si>
    <r>
      <rPr>
        <b/>
        <sz val="11"/>
        <color theme="1"/>
        <rFont val="Calibri"/>
        <family val="2"/>
        <scheme val="minor"/>
      </rPr>
      <t>All sheets:</t>
    </r>
    <r>
      <rPr>
        <sz val="11"/>
        <color theme="1"/>
        <rFont val="Calibri"/>
        <family val="2"/>
        <scheme val="minor"/>
      </rPr>
      <t xml:space="preserve"> Updated names and logos to reflect the new Grønn Byggallianse organisation</t>
    </r>
    <r>
      <rPr>
        <b/>
        <sz val="11"/>
        <color theme="1"/>
        <rFont val="Calibri"/>
        <family val="2"/>
        <scheme val="minor"/>
      </rPr>
      <t xml:space="preserve">
Assessment References:</t>
    </r>
    <r>
      <rPr>
        <sz val="11"/>
        <color theme="1"/>
        <rFont val="Calibri"/>
        <family val="2"/>
        <scheme val="minor"/>
      </rPr>
      <t xml:space="preserve"> Added filtering option
</t>
    </r>
    <r>
      <rPr>
        <b/>
        <sz val="11"/>
        <color theme="1"/>
        <rFont val="Calibri"/>
        <family val="2"/>
        <scheme val="minor"/>
      </rPr>
      <t xml:space="preserve">LE 05: </t>
    </r>
    <r>
      <rPr>
        <sz val="11"/>
        <color theme="1"/>
        <rFont val="Calibri"/>
        <family val="2"/>
        <scheme val="minor"/>
      </rPr>
      <t>Corrected according to CN3: Where additional criteria are not applicable, pre-requisite criterion 3 (</t>
    </r>
    <r>
      <rPr>
        <i/>
        <sz val="11"/>
        <color theme="1"/>
        <rFont val="Calibri"/>
        <family val="2"/>
        <scheme val="minor"/>
      </rPr>
      <t>landscape and habitat management plan</t>
    </r>
    <r>
      <rPr>
        <sz val="11"/>
        <color theme="1"/>
        <rFont val="Calibri"/>
        <family val="2"/>
        <scheme val="minor"/>
      </rPr>
      <t>) can be YES or N/A (previous only N/A) to achieve full credits.</t>
    </r>
  </si>
  <si>
    <t>Diverse info</t>
  </si>
  <si>
    <t>Valg</t>
  </si>
  <si>
    <t>Alt 1</t>
  </si>
  <si>
    <t>Alt 2</t>
  </si>
  <si>
    <t>Alt 3</t>
  </si>
  <si>
    <t>Alternativ org</t>
  </si>
  <si>
    <t>Alternativ etter justering</t>
  </si>
  <si>
    <t>Shell/core</t>
  </si>
  <si>
    <t>Celle være hvit?</t>
  </si>
  <si>
    <t>i dropdown</t>
  </si>
  <si>
    <t>valg</t>
  </si>
  <si>
    <t>veller o-q: velg N/A eller (100&amp;, 50%)</t>
  </si>
  <si>
    <t>celler v-x: velg hva det skal stå i dropdown tekst (eks Alt 2: N/A)</t>
  </si>
  <si>
    <t>Emnde</t>
  </si>
  <si>
    <t>AC</t>
  </si>
  <si>
    <t>All criteria relevant to the building type and function apply.</t>
  </si>
  <si>
    <t>for å bruke til å regne score</t>
  </si>
  <si>
    <t>shell core OK 240519</t>
  </si>
  <si>
    <t>Påvirker ikke valg</t>
  </si>
  <si>
    <t>nei her er spesiell, ikke kipier rader herfra</t>
  </si>
  <si>
    <t>Noise impact assessment, level of noise less than +5dB day and +3dB night, if applicable: noise attenuation measures</t>
  </si>
  <si>
    <t>Delivered energy calculated according to NS 3031:2014 and is carried out by a qualified energy modelling engineer/expert</t>
  </si>
  <si>
    <t>Antar ingen påvirkning</t>
  </si>
  <si>
    <t>Glare control</t>
  </si>
  <si>
    <t>Artificial lighting</t>
  </si>
  <si>
    <t>Minimising sources of air pollution: criterion 5</t>
  </si>
  <si>
    <t>Shell and core assessments</t>
  </si>
  <si>
    <t>Option</t>
  </si>
  <si>
    <t>Assessment criteria</t>
  </si>
  <si>
    <t>Impact of refrigerant: criterion 1, 2</t>
  </si>
  <si>
    <t>Impact of refrigerant: criterion 3</t>
  </si>
  <si>
    <t>Option 2: -50%</t>
  </si>
  <si>
    <t>VOC</t>
  </si>
  <si>
    <t>SHELL CORE som påvirker minstestandard</t>
  </si>
  <si>
    <t>credits achived uten shell core</t>
  </si>
  <si>
    <t>poeng uten shell core</t>
  </si>
  <si>
    <t>1.05</t>
  </si>
  <si>
    <r>
      <rPr>
        <b/>
        <sz val="11"/>
        <color theme="1"/>
        <rFont val="Calibri"/>
        <family val="2"/>
        <scheme val="minor"/>
      </rPr>
      <t xml:space="preserve">Assessment Details: </t>
    </r>
    <r>
      <rPr>
        <sz val="11"/>
        <color theme="1"/>
        <rFont val="Calibri"/>
        <family val="2"/>
        <scheme val="minor"/>
      </rPr>
      <t xml:space="preserve">Added function for New Construction </t>
    </r>
    <r>
      <rPr>
        <b/>
        <sz val="11"/>
        <color theme="1"/>
        <rFont val="Calibri"/>
        <family val="2"/>
        <scheme val="minor"/>
      </rPr>
      <t>(shell only)</t>
    </r>
    <r>
      <rPr>
        <sz val="11"/>
        <color theme="1"/>
        <rFont val="Calibri"/>
        <family val="2"/>
        <scheme val="minor"/>
      </rPr>
      <t xml:space="preserve"> and Major Refurbishment </t>
    </r>
    <r>
      <rPr>
        <b/>
        <sz val="11"/>
        <color theme="1"/>
        <rFont val="Calibri"/>
        <family val="2"/>
        <scheme val="minor"/>
      </rPr>
      <t>(shell only)</t>
    </r>
    <r>
      <rPr>
        <sz val="11"/>
        <color theme="1"/>
        <rFont val="Calibri"/>
        <family val="2"/>
        <scheme val="minor"/>
      </rPr>
      <t xml:space="preserve">.
</t>
    </r>
    <r>
      <rPr>
        <b/>
        <sz val="11"/>
        <color theme="1"/>
        <rFont val="Calibri"/>
        <family val="2"/>
        <scheme val="minor"/>
      </rPr>
      <t xml:space="preserve">Assessment Issue Scoring: </t>
    </r>
    <r>
      <rPr>
        <sz val="11"/>
        <color theme="1"/>
        <rFont val="Calibri"/>
        <family val="2"/>
        <scheme val="minor"/>
      </rPr>
      <t>See column H for option for shell &amp; core.
No changes for fully fitted assessment.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</si>
</sst>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
    <numFmt numFmtId="165" formatCode="[$-F800]dddd\,\ mmmm\ dd\,\ yyyy"/>
    <numFmt numFmtId="166" formatCode="0.0"/>
  </numFmts>
  <fonts count="103" x14ac:knownFonts="1">
    <font>
      <sz val="11"/>
      <color theme="1"/>
      <name val="Calibri"/>
      <family val="2"/>
      <scheme val="minor"/>
    </font>
    <font>
      <sz val="11"/>
      <color indexed="8"/>
      <name val="Calibri"/>
      <family val="2"/>
    </font>
    <font>
      <sz val="10"/>
      <name val="Arial"/>
      <family val="2"/>
    </font>
    <font>
      <sz val="9"/>
      <color indexed="8"/>
      <name val="Calibri"/>
      <family val="2"/>
    </font>
    <font>
      <sz val="12"/>
      <color indexed="8"/>
      <name val="Calibri"/>
      <family val="2"/>
    </font>
    <font>
      <sz val="12"/>
      <name val="Calibri"/>
      <family val="2"/>
    </font>
    <font>
      <sz val="12"/>
      <color indexed="9"/>
      <name val="Calibri"/>
      <family val="2"/>
    </font>
    <font>
      <sz val="11"/>
      <color indexed="8"/>
      <name val="Calibri"/>
      <family val="2"/>
    </font>
    <font>
      <sz val="11"/>
      <color indexed="9"/>
      <name val="Calibri"/>
      <family val="2"/>
    </font>
    <font>
      <b/>
      <sz val="11"/>
      <color indexed="9"/>
      <name val="Calibri"/>
      <family val="2"/>
    </font>
    <font>
      <sz val="11"/>
      <name val="Calibri"/>
      <family val="2"/>
    </font>
    <font>
      <b/>
      <sz val="12"/>
      <color indexed="8"/>
      <name val="Calibri"/>
      <family val="2"/>
    </font>
    <font>
      <sz val="12"/>
      <color indexed="8"/>
      <name val="Calibri"/>
      <family val="2"/>
    </font>
    <font>
      <sz val="11"/>
      <color indexed="57"/>
      <name val="Calibri"/>
      <family val="2"/>
    </font>
    <font>
      <i/>
      <sz val="11"/>
      <color indexed="23"/>
      <name val="Calibri"/>
      <family val="2"/>
    </font>
    <font>
      <b/>
      <sz val="11"/>
      <color indexed="10"/>
      <name val="Calibri"/>
      <family val="2"/>
    </font>
    <font>
      <sz val="9"/>
      <color indexed="8"/>
      <name val="Calibri"/>
      <family val="2"/>
    </font>
    <font>
      <sz val="12"/>
      <color indexed="9"/>
      <name val="Calibri"/>
      <family val="2"/>
    </font>
    <font>
      <b/>
      <sz val="12"/>
      <color indexed="9"/>
      <name val="Calibri"/>
      <family val="2"/>
    </font>
    <font>
      <sz val="12"/>
      <name val="Calibri"/>
      <family val="2"/>
    </font>
    <font>
      <i/>
      <sz val="12"/>
      <name val="Calibri"/>
      <family val="2"/>
    </font>
    <font>
      <b/>
      <sz val="14"/>
      <color indexed="9"/>
      <name val="Calibri"/>
      <family val="2"/>
    </font>
    <font>
      <sz val="16"/>
      <color indexed="9"/>
      <name val="Calibri"/>
      <family val="2"/>
    </font>
    <font>
      <b/>
      <sz val="16"/>
      <color indexed="9"/>
      <name val="Calibri"/>
      <family val="2"/>
    </font>
    <font>
      <sz val="8"/>
      <name val="Calibri"/>
      <family val="2"/>
    </font>
    <font>
      <sz val="8"/>
      <color indexed="8"/>
      <name val="Calibri"/>
      <family val="2"/>
    </font>
    <font>
      <sz val="11"/>
      <color theme="0"/>
      <name val="Calibri"/>
      <family val="2"/>
      <scheme val="minor"/>
    </font>
    <font>
      <sz val="11"/>
      <color rgb="FFFF0000"/>
      <name val="Calibri"/>
      <family val="2"/>
      <scheme val="minor"/>
    </font>
    <font>
      <b/>
      <sz val="14"/>
      <color rgb="FF3D6864"/>
      <name val="Calibri"/>
      <family val="2"/>
      <scheme val="minor"/>
    </font>
    <font>
      <sz val="12"/>
      <color rgb="FF3D6864"/>
      <name val="Calibri"/>
      <family val="2"/>
    </font>
    <font>
      <sz val="12"/>
      <color rgb="FF406564"/>
      <name val="Calibri"/>
      <family val="2"/>
    </font>
    <font>
      <sz val="11"/>
      <name val="Calibri"/>
      <family val="2"/>
      <scheme val="minor"/>
    </font>
    <font>
      <sz val="11"/>
      <color rgb="FFFF0000"/>
      <name val="Calibri"/>
      <family val="2"/>
    </font>
    <font>
      <b/>
      <sz val="14"/>
      <color theme="0"/>
      <name val="Calibri"/>
      <family val="2"/>
      <scheme val="minor"/>
    </font>
    <font>
      <sz val="11"/>
      <color rgb="FF406564"/>
      <name val="Calibri"/>
      <family val="2"/>
      <scheme val="minor"/>
    </font>
    <font>
      <b/>
      <sz val="12"/>
      <color theme="0"/>
      <name val="Calibri"/>
      <family val="2"/>
    </font>
    <font>
      <b/>
      <sz val="16"/>
      <color theme="0"/>
      <name val="Calibri"/>
      <family val="2"/>
      <scheme val="minor"/>
    </font>
    <font>
      <b/>
      <sz val="11"/>
      <color theme="1"/>
      <name val="Calibri"/>
      <family val="2"/>
      <scheme val="minor"/>
    </font>
    <font>
      <i/>
      <sz val="11"/>
      <name val="Calibri"/>
      <family val="2"/>
    </font>
    <font>
      <vertAlign val="superscript"/>
      <sz val="11"/>
      <color indexed="9"/>
      <name val="Calibri"/>
      <family val="2"/>
    </font>
    <font>
      <sz val="11"/>
      <color theme="1"/>
      <name val="Calibri"/>
      <family val="2"/>
    </font>
    <font>
      <sz val="12"/>
      <color theme="1"/>
      <name val="Calibri"/>
      <family val="2"/>
    </font>
    <font>
      <sz val="9"/>
      <color theme="1"/>
      <name val="Calibri"/>
      <family val="2"/>
    </font>
    <font>
      <sz val="14"/>
      <color rgb="FF406564"/>
      <name val="Calibri"/>
      <family val="2"/>
      <scheme val="minor"/>
    </font>
    <font>
      <b/>
      <sz val="14"/>
      <color rgb="FF406564"/>
      <name val="Calibri"/>
      <family val="2"/>
      <scheme val="minor"/>
    </font>
    <font>
      <b/>
      <sz val="11"/>
      <name val="Calibri"/>
      <family val="2"/>
      <scheme val="minor"/>
    </font>
    <font>
      <b/>
      <sz val="11"/>
      <color theme="0"/>
      <name val="Calibri"/>
      <family val="2"/>
    </font>
    <font>
      <i/>
      <sz val="11"/>
      <color indexed="9"/>
      <name val="Calibri"/>
      <family val="2"/>
    </font>
    <font>
      <b/>
      <sz val="11"/>
      <color rgb="FF406564"/>
      <name val="Calibri"/>
      <family val="2"/>
      <scheme val="minor"/>
    </font>
    <font>
      <sz val="12"/>
      <color theme="1"/>
      <name val="Calibri"/>
      <family val="2"/>
      <scheme val="minor"/>
    </font>
    <font>
      <i/>
      <sz val="11"/>
      <color theme="1"/>
      <name val="Calibri"/>
      <family val="2"/>
      <scheme val="minor"/>
    </font>
    <font>
      <i/>
      <sz val="11"/>
      <color rgb="FFFF0000"/>
      <name val="Calibri"/>
      <family val="2"/>
    </font>
    <font>
      <sz val="18"/>
      <color rgb="FF406564"/>
      <name val="Calibri"/>
      <family val="2"/>
      <scheme val="minor"/>
    </font>
    <font>
      <i/>
      <sz val="11"/>
      <color theme="1"/>
      <name val="Calibri"/>
      <family val="2"/>
    </font>
    <font>
      <b/>
      <sz val="11"/>
      <color rgb="FFFF0000"/>
      <name val="Calibri"/>
      <family val="2"/>
      <scheme val="minor"/>
    </font>
    <font>
      <b/>
      <sz val="12"/>
      <color rgb="FFFF0000"/>
      <name val="Calibri"/>
      <family val="2"/>
    </font>
    <font>
      <sz val="20"/>
      <color rgb="FFFF0000"/>
      <name val="Calibri"/>
      <family val="2"/>
      <scheme val="minor"/>
    </font>
    <font>
      <sz val="18"/>
      <color rgb="FFFF0000"/>
      <name val="Calibri"/>
      <family val="2"/>
      <scheme val="minor"/>
    </font>
    <font>
      <vertAlign val="subscript"/>
      <sz val="11"/>
      <color indexed="8"/>
      <name val="Calibri"/>
      <family val="2"/>
    </font>
    <font>
      <sz val="11"/>
      <color rgb="FF006100"/>
      <name val="Calibri"/>
      <family val="2"/>
      <scheme val="minor"/>
    </font>
    <font>
      <vertAlign val="superscript"/>
      <sz val="11"/>
      <color indexed="8"/>
      <name val="Calibri"/>
      <family val="2"/>
    </font>
    <font>
      <sz val="11"/>
      <color rgb="FF3D6864"/>
      <name val="Calibri"/>
      <family val="2"/>
    </font>
    <font>
      <b/>
      <sz val="11"/>
      <color indexed="8"/>
      <name val="Calibri"/>
      <family val="2"/>
    </font>
    <font>
      <sz val="12"/>
      <color theme="0"/>
      <name val="Calibri"/>
      <family val="2"/>
      <scheme val="minor"/>
    </font>
    <font>
      <sz val="8"/>
      <color indexed="81"/>
      <name val="Tahoma"/>
      <family val="2"/>
    </font>
    <font>
      <b/>
      <sz val="8"/>
      <color theme="1"/>
      <name val="Calibri"/>
      <family val="2"/>
      <scheme val="minor"/>
    </font>
    <font>
      <sz val="9"/>
      <color theme="1"/>
      <name val="Calibri"/>
      <family val="2"/>
      <scheme val="minor"/>
    </font>
    <font>
      <sz val="10"/>
      <color rgb="FF006100"/>
      <name val="Calibri Light"/>
      <family val="2"/>
    </font>
    <font>
      <sz val="8"/>
      <color theme="1"/>
      <name val="Calibri"/>
      <family val="2"/>
      <scheme val="minor"/>
    </font>
    <font>
      <b/>
      <sz val="9"/>
      <color theme="1"/>
      <name val="Calibri"/>
      <family val="2"/>
      <scheme val="minor"/>
    </font>
    <font>
      <sz val="8"/>
      <name val="Calibri"/>
      <family val="2"/>
      <scheme val="minor"/>
    </font>
    <font>
      <sz val="11"/>
      <color theme="0"/>
      <name val="Calibri"/>
      <family val="2"/>
      <scheme val="minor"/>
    </font>
    <font>
      <sz val="11"/>
      <color theme="1"/>
      <name val="Calibri"/>
      <family val="2"/>
      <scheme val="minor"/>
    </font>
    <font>
      <sz val="11"/>
      <color rgb="FFFF0000"/>
      <name val="Calibri"/>
      <family val="2"/>
      <scheme val="minor"/>
    </font>
    <font>
      <b/>
      <sz val="14"/>
      <color indexed="9"/>
      <name val="Calibri"/>
      <family val="2"/>
    </font>
    <font>
      <b/>
      <sz val="11"/>
      <color indexed="9"/>
      <name val="Calibri"/>
      <family val="2"/>
    </font>
    <font>
      <sz val="11"/>
      <color indexed="9"/>
      <name val="Calibri"/>
      <family val="2"/>
    </font>
    <font>
      <sz val="11"/>
      <color indexed="8"/>
      <name val="Calibri"/>
      <family val="2"/>
    </font>
    <font>
      <sz val="11"/>
      <name val="Calibri"/>
      <family val="2"/>
    </font>
    <font>
      <i/>
      <sz val="11"/>
      <color theme="1" tint="0.499984740745262"/>
      <name val="Calibri"/>
      <family val="2"/>
      <scheme val="minor"/>
    </font>
    <font>
      <sz val="11"/>
      <name val="Calibri"/>
      <family val="2"/>
      <scheme val="minor"/>
    </font>
    <font>
      <sz val="11"/>
      <color rgb="FF3D6864"/>
      <name val="Calibri"/>
      <family val="2"/>
      <scheme val="minor"/>
    </font>
    <font>
      <b/>
      <sz val="14"/>
      <color theme="0"/>
      <name val="Calibri"/>
      <family val="2"/>
      <scheme val="minor"/>
    </font>
    <font>
      <b/>
      <sz val="11"/>
      <color rgb="FF3D6864"/>
      <name val="Calibri"/>
      <family val="2"/>
    </font>
    <font>
      <b/>
      <sz val="11"/>
      <color indexed="8"/>
      <name val="Calibri"/>
      <family val="2"/>
    </font>
    <font>
      <b/>
      <sz val="11"/>
      <color rgb="FFFF0000"/>
      <name val="Calibri"/>
      <family val="2"/>
    </font>
    <font>
      <b/>
      <sz val="11"/>
      <color theme="1"/>
      <name val="Calibri"/>
      <family val="2"/>
      <scheme val="minor"/>
    </font>
    <font>
      <sz val="11"/>
      <color rgb="FF3D6864"/>
      <name val="Calibri"/>
      <family val="2"/>
    </font>
    <font>
      <sz val="11"/>
      <color theme="1"/>
      <name val="Calibri"/>
      <family val="2"/>
    </font>
    <font>
      <b/>
      <i/>
      <sz val="11"/>
      <color theme="1"/>
      <name val="Calibri"/>
      <family val="2"/>
      <scheme val="minor"/>
    </font>
    <font>
      <i/>
      <sz val="11"/>
      <color theme="1"/>
      <name val="Calibri"/>
      <family val="2"/>
      <scheme val="minor"/>
    </font>
    <font>
      <b/>
      <sz val="14"/>
      <color rgb="FF3D6864"/>
      <name val="Calibri"/>
      <family val="2"/>
      <scheme val="minor"/>
    </font>
    <font>
      <b/>
      <i/>
      <sz val="11"/>
      <color theme="1"/>
      <name val="Calibri"/>
      <family val="2"/>
    </font>
    <font>
      <sz val="11"/>
      <color rgb="FFFF0000"/>
      <name val="Calibri"/>
      <family val="2"/>
    </font>
    <font>
      <i/>
      <sz val="11"/>
      <color indexed="23"/>
      <name val="Calibri"/>
      <family val="2"/>
    </font>
    <font>
      <sz val="11"/>
      <color indexed="23"/>
      <name val="Calibri"/>
      <family val="2"/>
    </font>
    <font>
      <sz val="9"/>
      <color indexed="81"/>
      <name val="Tahoma"/>
      <family val="2"/>
    </font>
    <font>
      <sz val="11"/>
      <color theme="1"/>
      <name val="Calibri"/>
      <family val="2"/>
      <scheme val="minor"/>
    </font>
    <font>
      <b/>
      <sz val="16"/>
      <color theme="0"/>
      <name val="Calibri"/>
      <family val="2"/>
      <scheme val="minor"/>
    </font>
    <font>
      <sz val="11"/>
      <name val="Calibri"/>
      <family val="2"/>
    </font>
    <font>
      <b/>
      <sz val="11"/>
      <color rgb="FFFF0000"/>
      <name val="Calibri"/>
      <family val="2"/>
      <scheme val="minor"/>
    </font>
    <font>
      <b/>
      <sz val="11"/>
      <color theme="1"/>
      <name val="Calibri"/>
      <family val="2"/>
      <scheme val="minor"/>
    </font>
    <font>
      <b/>
      <sz val="16"/>
      <color theme="0"/>
      <name val="Calibri"/>
      <family val="2"/>
    </font>
  </fonts>
  <fills count="23">
    <fill>
      <patternFill patternType="none"/>
    </fill>
    <fill>
      <patternFill patternType="gray125"/>
    </fill>
    <fill>
      <patternFill patternType="solid">
        <fgColor indexed="9"/>
        <bgColor indexed="64"/>
      </patternFill>
    </fill>
    <fill>
      <patternFill patternType="solid">
        <fgColor rgb="FF3D6864"/>
        <bgColor indexed="64"/>
      </patternFill>
    </fill>
    <fill>
      <patternFill patternType="solid">
        <fgColor theme="0"/>
        <bgColor indexed="64"/>
      </patternFill>
    </fill>
    <fill>
      <patternFill patternType="solid">
        <fgColor theme="0" tint="-0.14999847407452621"/>
        <bgColor indexed="64"/>
      </patternFill>
    </fill>
    <fill>
      <patternFill patternType="solid">
        <fgColor rgb="FF406564"/>
        <bgColor indexed="64"/>
      </patternFill>
    </fill>
    <fill>
      <patternFill patternType="solid">
        <fgColor rgb="FFFFC000"/>
        <bgColor indexed="64"/>
      </patternFill>
    </fill>
    <fill>
      <patternFill patternType="solid">
        <fgColor theme="6"/>
        <bgColor indexed="64"/>
      </patternFill>
    </fill>
    <fill>
      <patternFill patternType="solid">
        <fgColor theme="5"/>
        <bgColor indexed="64"/>
      </patternFill>
    </fill>
    <fill>
      <patternFill patternType="solid">
        <fgColor theme="3"/>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56B146"/>
        <bgColor indexed="64"/>
      </patternFill>
    </fill>
    <fill>
      <patternFill patternType="solid">
        <fgColor rgb="FFFFD146"/>
        <bgColor indexed="64"/>
      </patternFill>
    </fill>
    <fill>
      <patternFill patternType="solid">
        <fgColor rgb="FFF16161"/>
        <bgColor indexed="64"/>
      </patternFill>
    </fill>
    <fill>
      <patternFill patternType="solid">
        <fgColor rgb="FFFFFF00"/>
        <bgColor indexed="64"/>
      </patternFill>
    </fill>
    <fill>
      <patternFill patternType="solid">
        <fgColor rgb="FFC6EFCE"/>
      </patternFill>
    </fill>
    <fill>
      <patternFill patternType="solid">
        <fgColor indexed="10"/>
        <bgColor indexed="64"/>
      </patternFill>
    </fill>
    <fill>
      <patternFill patternType="solid">
        <fgColor indexed="43"/>
        <bgColor indexed="64"/>
      </patternFill>
    </fill>
    <fill>
      <patternFill patternType="solid">
        <fgColor theme="6" tint="0.59999389629810485"/>
        <bgColor indexed="64"/>
      </patternFill>
    </fill>
    <fill>
      <patternFill patternType="solid">
        <fgColor theme="0" tint="-0.249977111117893"/>
        <bgColor indexed="64"/>
      </patternFill>
    </fill>
  </fills>
  <borders count="17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right style="medium">
        <color rgb="FF3D6864"/>
      </right>
      <top/>
      <bottom/>
      <diagonal/>
    </border>
    <border>
      <left style="thin">
        <color indexed="64"/>
      </left>
      <right style="medium">
        <color rgb="FF3D6864"/>
      </right>
      <top style="thin">
        <color indexed="64"/>
      </top>
      <bottom style="thin">
        <color indexed="64"/>
      </bottom>
      <diagonal/>
    </border>
    <border>
      <left style="thin">
        <color theme="0"/>
      </left>
      <right style="medium">
        <color rgb="FF3D6864"/>
      </right>
      <top style="thin">
        <color theme="0"/>
      </top>
      <bottom style="thin">
        <color theme="0"/>
      </bottom>
      <diagonal/>
    </border>
    <border>
      <left style="thin">
        <color theme="0"/>
      </left>
      <right style="medium">
        <color rgb="FF3D6864"/>
      </right>
      <top/>
      <bottom style="thin">
        <color theme="0"/>
      </bottom>
      <diagonal/>
    </border>
    <border>
      <left/>
      <right style="medium">
        <color rgb="FF3D6864"/>
      </right>
      <top/>
      <bottom style="thin">
        <color theme="0"/>
      </bottom>
      <diagonal/>
    </border>
    <border>
      <left style="medium">
        <color rgb="FF3D6864"/>
      </left>
      <right/>
      <top/>
      <bottom/>
      <diagonal/>
    </border>
    <border>
      <left/>
      <right style="medium">
        <color rgb="FF3D6864"/>
      </right>
      <top/>
      <bottom style="thin">
        <color indexed="64"/>
      </bottom>
      <diagonal/>
    </border>
    <border>
      <left/>
      <right style="medium">
        <color rgb="FF3D6864"/>
      </right>
      <top style="thin">
        <color indexed="64"/>
      </top>
      <bottom style="thin">
        <color indexed="64"/>
      </bottom>
      <diagonal/>
    </border>
    <border>
      <left style="medium">
        <color rgb="FF3D6864"/>
      </left>
      <right style="thin">
        <color theme="0"/>
      </right>
      <top/>
      <bottom style="thin">
        <color theme="0"/>
      </bottom>
      <diagonal/>
    </border>
    <border>
      <left style="medium">
        <color rgb="FF3D6864"/>
      </left>
      <right style="thin">
        <color indexed="64"/>
      </right>
      <top style="thin">
        <color indexed="64"/>
      </top>
      <bottom style="thin">
        <color indexed="64"/>
      </bottom>
      <diagonal/>
    </border>
    <border>
      <left/>
      <right/>
      <top/>
      <bottom style="thin">
        <color theme="0"/>
      </bottom>
      <diagonal/>
    </border>
    <border>
      <left style="medium">
        <color rgb="FF3D6864"/>
      </left>
      <right/>
      <top/>
      <bottom style="thin">
        <color theme="0"/>
      </bottom>
      <diagonal/>
    </border>
    <border>
      <left style="medium">
        <color rgb="FF3D6864"/>
      </left>
      <right/>
      <top style="thin">
        <color theme="0"/>
      </top>
      <bottom style="thin">
        <color theme="0"/>
      </bottom>
      <diagonal/>
    </border>
    <border>
      <left style="medium">
        <color rgb="FF3D6864"/>
      </left>
      <right style="medium">
        <color rgb="FF3D6864"/>
      </right>
      <top/>
      <bottom style="thin">
        <color indexed="64"/>
      </bottom>
      <diagonal/>
    </border>
    <border>
      <left style="medium">
        <color rgb="FF3D6864"/>
      </left>
      <right style="medium">
        <color rgb="FF3D6864"/>
      </right>
      <top/>
      <bottom style="thin">
        <color theme="0"/>
      </bottom>
      <diagonal/>
    </border>
    <border>
      <left style="medium">
        <color rgb="FF3D6864"/>
      </left>
      <right style="medium">
        <color rgb="FF3D6864"/>
      </right>
      <top style="thin">
        <color indexed="64"/>
      </top>
      <bottom style="thin">
        <color indexed="64"/>
      </bottom>
      <diagonal/>
    </border>
    <border>
      <left style="medium">
        <color rgb="FF3D68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theme="0"/>
      </left>
      <right style="thin">
        <color theme="0"/>
      </right>
      <top style="thin">
        <color theme="0"/>
      </top>
      <bottom style="medium">
        <color rgb="FF3D6864"/>
      </bottom>
      <diagonal/>
    </border>
    <border>
      <left style="thin">
        <color theme="0"/>
      </left>
      <right style="medium">
        <color rgb="FF3D6864"/>
      </right>
      <top style="thin">
        <color theme="0"/>
      </top>
      <bottom style="medium">
        <color rgb="FF3D6864"/>
      </bottom>
      <diagonal/>
    </border>
    <border>
      <left/>
      <right style="thin">
        <color theme="0"/>
      </right>
      <top style="thin">
        <color theme="0"/>
      </top>
      <bottom style="medium">
        <color rgb="FF3D6864"/>
      </bottom>
      <diagonal/>
    </border>
    <border>
      <left style="thin">
        <color theme="0"/>
      </left>
      <right/>
      <top style="thin">
        <color theme="0"/>
      </top>
      <bottom style="medium">
        <color rgb="FF3D6864"/>
      </bottom>
      <diagonal/>
    </border>
    <border>
      <left/>
      <right style="medium">
        <color rgb="FF3D6864"/>
      </right>
      <top style="thin">
        <color theme="0"/>
      </top>
      <bottom style="medium">
        <color rgb="FF3D6864"/>
      </bottom>
      <diagonal/>
    </border>
    <border>
      <left/>
      <right/>
      <top style="thin">
        <color theme="0"/>
      </top>
      <bottom style="medium">
        <color rgb="FF3D6864"/>
      </bottom>
      <diagonal/>
    </border>
    <border>
      <left style="thin">
        <color theme="0"/>
      </left>
      <right/>
      <top style="thin">
        <color indexed="64"/>
      </top>
      <bottom style="medium">
        <color rgb="FF3D6864"/>
      </bottom>
      <diagonal/>
    </border>
    <border>
      <left/>
      <right/>
      <top style="thin">
        <color indexed="64"/>
      </top>
      <bottom style="medium">
        <color rgb="FF3D6864"/>
      </bottom>
      <diagonal/>
    </border>
    <border>
      <left/>
      <right style="medium">
        <color rgb="FF3D6864"/>
      </right>
      <top style="thin">
        <color indexed="64"/>
      </top>
      <bottom style="medium">
        <color rgb="FF3D6864"/>
      </bottom>
      <diagonal/>
    </border>
    <border>
      <left style="medium">
        <color rgb="FF3D6864"/>
      </left>
      <right style="thin">
        <color rgb="FF3D6864"/>
      </right>
      <top/>
      <bottom/>
      <diagonal/>
    </border>
    <border>
      <left style="thin">
        <color rgb="FF3D6864"/>
      </left>
      <right style="thin">
        <color rgb="FF3D6864"/>
      </right>
      <top/>
      <bottom/>
      <diagonal/>
    </border>
    <border>
      <left/>
      <right style="thin">
        <color theme="0"/>
      </right>
      <top/>
      <bottom/>
      <diagonal/>
    </border>
    <border>
      <left style="medium">
        <color rgb="FF3D6864"/>
      </left>
      <right style="thin">
        <color theme="0"/>
      </right>
      <top style="thin">
        <color indexed="64"/>
      </top>
      <bottom style="medium">
        <color rgb="FF3D6864"/>
      </bottom>
      <diagonal/>
    </border>
    <border>
      <left/>
      <right style="thin">
        <color indexed="64"/>
      </right>
      <top style="thin">
        <color indexed="64"/>
      </top>
      <bottom style="medium">
        <color indexed="64"/>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right style="thin">
        <color indexed="64"/>
      </right>
      <top style="thin">
        <color theme="0"/>
      </top>
      <bottom style="thin">
        <color theme="0"/>
      </bottom>
      <diagonal/>
    </border>
    <border>
      <left/>
      <right style="thin">
        <color indexed="64"/>
      </right>
      <top style="thin">
        <color theme="0"/>
      </top>
      <bottom style="thin">
        <color indexed="64"/>
      </bottom>
      <diagonal/>
    </border>
    <border>
      <left/>
      <right style="thin">
        <color indexed="64"/>
      </right>
      <top style="thin">
        <color indexed="64"/>
      </top>
      <bottom style="thin">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theme="0"/>
      </bottom>
      <diagonal/>
    </border>
    <border>
      <left style="thin">
        <color rgb="FF3D6864"/>
      </left>
      <right style="thin">
        <color rgb="FF3D6864"/>
      </right>
      <top/>
      <bottom style="thin">
        <color indexed="64"/>
      </bottom>
      <diagonal/>
    </border>
    <border>
      <left style="thin">
        <color rgb="FF3D6864"/>
      </left>
      <right style="medium">
        <color rgb="FF3D6864"/>
      </right>
      <top/>
      <bottom/>
      <diagonal/>
    </border>
    <border>
      <left style="thin">
        <color indexed="64"/>
      </left>
      <right/>
      <top style="thin">
        <color theme="0"/>
      </top>
      <bottom style="thin">
        <color indexed="64"/>
      </bottom>
      <diagonal/>
    </border>
    <border>
      <left style="thin">
        <color indexed="64"/>
      </left>
      <right style="medium">
        <color rgb="FF3D6864"/>
      </right>
      <top/>
      <bottom style="thin">
        <color indexed="64"/>
      </bottom>
      <diagonal/>
    </border>
    <border>
      <left/>
      <right style="medium">
        <color rgb="FF3D68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rgb="FF3D6864"/>
      </left>
      <right style="medium">
        <color rgb="FF3D6864"/>
      </right>
      <top/>
      <bottom style="medium">
        <color rgb="FF3D6864"/>
      </bottom>
      <diagonal/>
    </border>
    <border>
      <left/>
      <right/>
      <top/>
      <bottom style="thin">
        <color rgb="FF3D6864"/>
      </bottom>
      <diagonal/>
    </border>
    <border>
      <left style="medium">
        <color rgb="FF3D6864"/>
      </left>
      <right style="medium">
        <color rgb="FF3D6864"/>
      </right>
      <top style="medium">
        <color rgb="FF3D6864"/>
      </top>
      <bottom style="thin">
        <color indexed="64"/>
      </bottom>
      <diagonal/>
    </border>
    <border>
      <left style="medium">
        <color rgb="FF3D6864"/>
      </left>
      <right style="medium">
        <color rgb="FF3D6864"/>
      </right>
      <top style="medium">
        <color rgb="FF3D6864"/>
      </top>
      <bottom style="thin">
        <color theme="0"/>
      </bottom>
      <diagonal/>
    </border>
    <border>
      <left style="medium">
        <color rgb="FF3D6864"/>
      </left>
      <right style="medium">
        <color rgb="FF3D6864"/>
      </right>
      <top style="thin">
        <color theme="0"/>
      </top>
      <bottom style="thin">
        <color theme="0"/>
      </bottom>
      <diagonal/>
    </border>
    <border>
      <left style="medium">
        <color rgb="FF3D6864"/>
      </left>
      <right style="medium">
        <color rgb="FF3D6864"/>
      </right>
      <top style="thin">
        <color theme="0"/>
      </top>
      <bottom style="medium">
        <color rgb="FF3D6864"/>
      </bottom>
      <diagonal/>
    </border>
    <border>
      <left style="medium">
        <color rgb="FF3D6864"/>
      </left>
      <right style="medium">
        <color rgb="FF3D6864"/>
      </right>
      <top/>
      <bottom/>
      <diagonal/>
    </border>
    <border>
      <left style="thin">
        <color indexed="64"/>
      </left>
      <right/>
      <top/>
      <bottom style="thin">
        <color theme="0"/>
      </bottom>
      <diagonal/>
    </border>
    <border>
      <left style="medium">
        <color rgb="FF3D6864"/>
      </left>
      <right style="medium">
        <color rgb="FF3D6864"/>
      </right>
      <top style="thin">
        <color indexed="64"/>
      </top>
      <bottom style="medium">
        <color rgb="FF3D6864"/>
      </bottom>
      <diagonal/>
    </border>
    <border>
      <left/>
      <right/>
      <top style="medium">
        <color rgb="FF3D6864"/>
      </top>
      <bottom style="thin">
        <color indexed="64"/>
      </bottom>
      <diagonal/>
    </border>
    <border>
      <left/>
      <right/>
      <top/>
      <bottom style="medium">
        <color rgb="FF3D6864"/>
      </bottom>
      <diagonal/>
    </border>
    <border>
      <left style="medium">
        <color rgb="FF3D6864"/>
      </left>
      <right style="thin">
        <color theme="0"/>
      </right>
      <top style="thin">
        <color theme="0"/>
      </top>
      <bottom style="thin">
        <color rgb="FF3D6864"/>
      </bottom>
      <diagonal/>
    </border>
    <border>
      <left style="thin">
        <color theme="0"/>
      </left>
      <right/>
      <top style="thin">
        <color theme="0"/>
      </top>
      <bottom style="thin">
        <color rgb="FF3D6864"/>
      </bottom>
      <diagonal/>
    </border>
    <border>
      <left/>
      <right style="thin">
        <color rgb="FF3D6864"/>
      </right>
      <top style="thin">
        <color rgb="FF3D6864"/>
      </top>
      <bottom style="thin">
        <color indexed="64"/>
      </bottom>
      <diagonal/>
    </border>
    <border>
      <left/>
      <right style="thin">
        <color rgb="FF3D6864"/>
      </right>
      <top/>
      <bottom style="thin">
        <color indexed="64"/>
      </bottom>
      <diagonal/>
    </border>
    <border>
      <left/>
      <right style="thin">
        <color rgb="FF3D6864"/>
      </right>
      <top/>
      <bottom style="thin">
        <color rgb="FF3D6864"/>
      </bottom>
      <diagonal/>
    </border>
    <border>
      <left style="thin">
        <color rgb="FF3D6864"/>
      </left>
      <right style="thin">
        <color rgb="FF3D6864"/>
      </right>
      <top style="thin">
        <color rgb="FF3D6864"/>
      </top>
      <bottom style="thin">
        <color theme="0"/>
      </bottom>
      <diagonal/>
    </border>
    <border>
      <left style="thin">
        <color rgb="FF3D6864"/>
      </left>
      <right style="thin">
        <color rgb="FF3D6864"/>
      </right>
      <top style="thin">
        <color theme="0"/>
      </top>
      <bottom style="thin">
        <color theme="0"/>
      </bottom>
      <diagonal/>
    </border>
    <border>
      <left style="thin">
        <color rgb="FF3D6864"/>
      </left>
      <right style="thin">
        <color rgb="FF3D6864"/>
      </right>
      <top style="thin">
        <color theme="0"/>
      </top>
      <bottom style="thin">
        <color rgb="FF3D6864"/>
      </bottom>
      <diagonal/>
    </border>
    <border>
      <left style="thin">
        <color indexed="64"/>
      </left>
      <right style="thin">
        <color indexed="64"/>
      </right>
      <top/>
      <bottom style="thin">
        <color theme="0"/>
      </bottom>
      <diagonal/>
    </border>
    <border>
      <left style="medium">
        <color rgb="FF3D6864"/>
      </left>
      <right style="medium">
        <color rgb="FF3D6864"/>
      </right>
      <top style="thin">
        <color theme="0"/>
      </top>
      <bottom/>
      <diagonal/>
    </border>
    <border>
      <left style="medium">
        <color rgb="FF3D6864"/>
      </left>
      <right style="medium">
        <color rgb="FF3D6864"/>
      </right>
      <top style="medium">
        <color rgb="FF3D6864"/>
      </top>
      <bottom style="medium">
        <color rgb="FF3D6864"/>
      </bottom>
      <diagonal/>
    </border>
    <border>
      <left style="medium">
        <color rgb="FF3D6864"/>
      </left>
      <right style="medium">
        <color rgb="FF3D6864"/>
      </right>
      <top style="medium">
        <color rgb="FF3D6864"/>
      </top>
      <bottom/>
      <diagonal/>
    </border>
    <border>
      <left style="medium">
        <color rgb="FF3D6864"/>
      </left>
      <right/>
      <top style="medium">
        <color rgb="FF3D6864"/>
      </top>
      <bottom/>
      <diagonal/>
    </border>
    <border>
      <left/>
      <right style="medium">
        <color rgb="FF3D6864"/>
      </right>
      <top style="medium">
        <color rgb="FF3D68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rgb="FF3D6864"/>
      </left>
      <right style="medium">
        <color rgb="FF3D6864"/>
      </right>
      <top style="thin">
        <color theme="0"/>
      </top>
      <bottom style="thin">
        <color indexed="64"/>
      </bottom>
      <diagonal/>
    </border>
    <border>
      <left/>
      <right style="medium">
        <color rgb="FF3D6864"/>
      </right>
      <top/>
      <bottom style="medium">
        <color rgb="FF3D68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theme="0"/>
      </left>
      <right/>
      <top style="thin">
        <color indexed="64"/>
      </top>
      <bottom style="thin">
        <color theme="0"/>
      </bottom>
      <diagonal/>
    </border>
    <border>
      <left style="thin">
        <color rgb="FF3D6864"/>
      </left>
      <right/>
      <top/>
      <bottom/>
      <diagonal/>
    </border>
    <border>
      <left/>
      <right style="thin">
        <color rgb="FF3D6864"/>
      </right>
      <top/>
      <bottom/>
      <diagonal/>
    </border>
    <border>
      <left/>
      <right/>
      <top style="medium">
        <color rgb="FF3D6864"/>
      </top>
      <bottom/>
      <diagonal/>
    </border>
    <border>
      <left style="thin">
        <color theme="0"/>
      </left>
      <right style="thin">
        <color theme="0"/>
      </right>
      <top/>
      <bottom/>
      <diagonal/>
    </border>
    <border>
      <left style="thin">
        <color theme="0"/>
      </left>
      <right/>
      <top/>
      <bottom/>
      <diagonal/>
    </border>
    <border>
      <left style="medium">
        <color rgb="FF3D6864"/>
      </left>
      <right/>
      <top style="medium">
        <color rgb="FF3D6864"/>
      </top>
      <bottom style="medium">
        <color rgb="FF3D6864"/>
      </bottom>
      <diagonal/>
    </border>
    <border>
      <left style="medium">
        <color rgb="FF3D6864"/>
      </left>
      <right style="medium">
        <color rgb="FF3D6864"/>
      </right>
      <top style="thin">
        <color indexed="64"/>
      </top>
      <bottom/>
      <diagonal/>
    </border>
    <border>
      <left style="medium">
        <color rgb="FF3D6864"/>
      </left>
      <right style="thin">
        <color indexed="64"/>
      </right>
      <top style="thin">
        <color indexed="64"/>
      </top>
      <bottom/>
      <diagonal/>
    </border>
    <border>
      <left style="medium">
        <color indexed="64"/>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indexed="64"/>
      </left>
      <right style="thin">
        <color theme="0" tint="-0.249977111117893"/>
      </right>
      <top/>
      <bottom/>
      <diagonal/>
    </border>
    <border>
      <left style="medium">
        <color indexed="64"/>
      </left>
      <right style="thin">
        <color theme="0" tint="-0.249977111117893"/>
      </right>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theme="0"/>
      </top>
      <bottom/>
      <diagonal/>
    </border>
    <border>
      <left/>
      <right style="thin">
        <color indexed="64"/>
      </right>
      <top style="medium">
        <color indexed="64"/>
      </top>
      <bottom style="medium">
        <color indexed="64"/>
      </bottom>
      <diagonal/>
    </border>
    <border>
      <left style="thin">
        <color rgb="FF3D6864"/>
      </left>
      <right style="thin">
        <color rgb="FF3D6864"/>
      </right>
      <top/>
      <bottom style="thin">
        <color theme="0"/>
      </bottom>
      <diagonal/>
    </border>
  </borders>
  <cellStyleXfs count="6">
    <xf numFmtId="0" fontId="0" fillId="0" borderId="0"/>
    <xf numFmtId="0" fontId="2" fillId="0" borderId="0"/>
    <xf numFmtId="9" fontId="7" fillId="0" borderId="0" applyFont="0" applyFill="0" applyBorder="0" applyAlignment="0" applyProtection="0"/>
    <xf numFmtId="0" fontId="59" fillId="18" borderId="0" applyNumberFormat="0" applyBorder="0" applyAlignment="0" applyProtection="0"/>
    <xf numFmtId="9" fontId="1" fillId="0" borderId="0" applyFont="0" applyFill="0" applyBorder="0" applyAlignment="0" applyProtection="0"/>
    <xf numFmtId="0" fontId="67" fillId="18" borderId="0" applyNumberFormat="0" applyBorder="0" applyAlignment="0" applyProtection="0"/>
  </cellStyleXfs>
  <cellXfs count="1434">
    <xf numFmtId="0" fontId="0" fillId="0" borderId="0" xfId="0"/>
    <xf numFmtId="0" fontId="0" fillId="2" borderId="0" xfId="0" applyFill="1" applyProtection="1">
      <protection hidden="1"/>
    </xf>
    <xf numFmtId="0" fontId="0" fillId="2" borderId="0" xfId="0" applyFont="1" applyFill="1" applyProtection="1">
      <protection hidden="1"/>
    </xf>
    <xf numFmtId="0" fontId="0" fillId="2" borderId="0" xfId="0" applyFill="1" applyBorder="1" applyProtection="1">
      <protection hidden="1"/>
    </xf>
    <xf numFmtId="0" fontId="11" fillId="2" borderId="1" xfId="0" applyFont="1" applyFill="1" applyBorder="1" applyProtection="1">
      <protection hidden="1"/>
    </xf>
    <xf numFmtId="0" fontId="10" fillId="2" borderId="0" xfId="0" applyFont="1" applyFill="1" applyProtection="1">
      <protection hidden="1"/>
    </xf>
    <xf numFmtId="0" fontId="12" fillId="2" borderId="0" xfId="0" applyFont="1" applyFill="1" applyProtection="1">
      <protection hidden="1"/>
    </xf>
    <xf numFmtId="0" fontId="12" fillId="2" borderId="1" xfId="0" applyFont="1" applyFill="1" applyBorder="1" applyProtection="1">
      <protection hidden="1"/>
    </xf>
    <xf numFmtId="0" fontId="13" fillId="2" borderId="0" xfId="0" applyFont="1" applyFill="1" applyAlignment="1" applyProtection="1">
      <alignment horizontal="center" wrapText="1"/>
      <protection hidden="1"/>
    </xf>
    <xf numFmtId="0" fontId="0" fillId="2" borderId="1" xfId="0" applyFill="1" applyBorder="1" applyProtection="1">
      <protection hidden="1"/>
    </xf>
    <xf numFmtId="0" fontId="15" fillId="2" borderId="0" xfId="0" applyFont="1" applyFill="1" applyAlignment="1" applyProtection="1">
      <alignment horizontal="left" vertical="center"/>
      <protection hidden="1"/>
    </xf>
    <xf numFmtId="0" fontId="0" fillId="2" borderId="0" xfId="0" applyFill="1" applyAlignment="1" applyProtection="1">
      <alignment wrapText="1"/>
      <protection hidden="1"/>
    </xf>
    <xf numFmtId="0" fontId="10" fillId="2" borderId="0" xfId="0" applyFont="1" applyFill="1" applyAlignment="1" applyProtection="1">
      <alignment vertical="top" wrapText="1"/>
      <protection hidden="1"/>
    </xf>
    <xf numFmtId="0" fontId="0" fillId="2" borderId="0" xfId="0" applyFont="1" applyFill="1" applyAlignment="1" applyProtection="1">
      <alignment horizontal="left" vertical="top" wrapText="1"/>
      <protection hidden="1"/>
    </xf>
    <xf numFmtId="0" fontId="11" fillId="2" borderId="0" xfId="0" applyFont="1" applyFill="1" applyAlignment="1" applyProtection="1">
      <alignment horizontal="left" vertical="top" wrapText="1"/>
      <protection hidden="1"/>
    </xf>
    <xf numFmtId="0" fontId="20" fillId="2" borderId="0" xfId="0" applyFont="1" applyFill="1" applyProtection="1">
      <protection hidden="1"/>
    </xf>
    <xf numFmtId="0" fontId="20" fillId="2" borderId="0" xfId="0" applyFont="1" applyFill="1" applyAlignment="1" applyProtection="1">
      <alignment vertical="top" wrapText="1"/>
      <protection hidden="1"/>
    </xf>
    <xf numFmtId="0" fontId="20" fillId="2" borderId="0" xfId="0" applyFont="1" applyFill="1" applyAlignment="1" applyProtection="1">
      <alignment horizontal="left" vertical="top" wrapText="1"/>
      <protection hidden="1"/>
    </xf>
    <xf numFmtId="0" fontId="19" fillId="2" borderId="0" xfId="0" applyFont="1" applyFill="1" applyProtection="1">
      <protection hidden="1"/>
    </xf>
    <xf numFmtId="0" fontId="0" fillId="0" borderId="0" xfId="0" applyFill="1" applyBorder="1" applyProtection="1">
      <protection hidden="1"/>
    </xf>
    <xf numFmtId="0" fontId="0" fillId="0" borderId="0" xfId="0" applyFill="1" applyProtection="1">
      <protection hidden="1"/>
    </xf>
    <xf numFmtId="0" fontId="28" fillId="4" borderId="1" xfId="0" applyFont="1" applyFill="1" applyBorder="1" applyAlignment="1" applyProtection="1">
      <alignment horizontal="left"/>
      <protection hidden="1"/>
    </xf>
    <xf numFmtId="0" fontId="0" fillId="4" borderId="0" xfId="0" applyFill="1" applyProtection="1">
      <protection hidden="1"/>
    </xf>
    <xf numFmtId="0" fontId="16" fillId="4" borderId="0" xfId="0" applyFont="1" applyFill="1" applyProtection="1">
      <protection hidden="1"/>
    </xf>
    <xf numFmtId="0" fontId="3" fillId="4" borderId="0" xfId="0" applyFont="1" applyFill="1" applyProtection="1">
      <protection hidden="1"/>
    </xf>
    <xf numFmtId="0" fontId="31" fillId="5" borderId="0" xfId="0" applyFont="1" applyFill="1" applyBorder="1" applyAlignment="1" applyProtection="1">
      <alignment horizontal="center" vertical="center"/>
      <protection hidden="1"/>
    </xf>
    <xf numFmtId="0" fontId="32" fillId="2" borderId="16" xfId="0" applyFont="1" applyFill="1" applyBorder="1" applyProtection="1">
      <protection hidden="1"/>
    </xf>
    <xf numFmtId="0" fontId="32" fillId="2" borderId="0" xfId="0" applyFont="1" applyFill="1" applyBorder="1" applyProtection="1">
      <protection hidden="1"/>
    </xf>
    <xf numFmtId="10" fontId="32" fillId="2" borderId="17" xfId="0" applyNumberFormat="1" applyFont="1" applyFill="1" applyBorder="1" applyProtection="1">
      <protection hidden="1"/>
    </xf>
    <xf numFmtId="0" fontId="27" fillId="2" borderId="0" xfId="0" applyFont="1" applyFill="1" applyProtection="1">
      <protection hidden="1"/>
    </xf>
    <xf numFmtId="0" fontId="32" fillId="2" borderId="18" xfId="0" applyFont="1" applyFill="1" applyBorder="1" applyProtection="1">
      <protection hidden="1"/>
    </xf>
    <xf numFmtId="0" fontId="32" fillId="2" borderId="19" xfId="0" applyFont="1" applyFill="1" applyBorder="1" applyProtection="1">
      <protection hidden="1"/>
    </xf>
    <xf numFmtId="10" fontId="32" fillId="2" borderId="20" xfId="0" applyNumberFormat="1" applyFont="1" applyFill="1" applyBorder="1" applyProtection="1">
      <protection hidden="1"/>
    </xf>
    <xf numFmtId="0" fontId="32" fillId="2" borderId="21" xfId="0" applyFont="1" applyFill="1" applyBorder="1" applyProtection="1">
      <protection hidden="1"/>
    </xf>
    <xf numFmtId="0" fontId="32" fillId="2" borderId="22" xfId="0" applyFont="1" applyFill="1" applyBorder="1" applyProtection="1">
      <protection hidden="1"/>
    </xf>
    <xf numFmtId="10" fontId="32" fillId="2" borderId="23" xfId="0" applyNumberFormat="1" applyFont="1" applyFill="1" applyBorder="1" applyProtection="1">
      <protection hidden="1"/>
    </xf>
    <xf numFmtId="0" fontId="1" fillId="4" borderId="0" xfId="0" applyFont="1" applyFill="1" applyProtection="1">
      <protection hidden="1"/>
    </xf>
    <xf numFmtId="0" fontId="25" fillId="4" borderId="0" xfId="0" applyFont="1" applyFill="1" applyProtection="1">
      <protection hidden="1"/>
    </xf>
    <xf numFmtId="0" fontId="12" fillId="2" borderId="0" xfId="0" applyFont="1" applyFill="1" applyAlignment="1" applyProtection="1">
      <alignment vertical="top" wrapText="1"/>
      <protection hidden="1"/>
    </xf>
    <xf numFmtId="0" fontId="4" fillId="2" borderId="0" xfId="0" applyFont="1" applyFill="1" applyAlignment="1" applyProtection="1">
      <alignment vertical="top" wrapText="1"/>
      <protection hidden="1"/>
    </xf>
    <xf numFmtId="0" fontId="0" fillId="4" borderId="0" xfId="0" applyFill="1"/>
    <xf numFmtId="0" fontId="31" fillId="4" borderId="0" xfId="0" applyFont="1" applyFill="1"/>
    <xf numFmtId="0" fontId="10" fillId="8" borderId="2" xfId="0" applyFont="1" applyFill="1" applyBorder="1" applyProtection="1">
      <protection hidden="1"/>
    </xf>
    <xf numFmtId="0" fontId="19" fillId="2" borderId="0" xfId="0" applyFont="1" applyFill="1" applyAlignment="1" applyProtection="1">
      <alignment horizontal="left" vertical="top" wrapText="1"/>
      <protection hidden="1"/>
    </xf>
    <xf numFmtId="0" fontId="26" fillId="4" borderId="0" xfId="0" applyFont="1" applyFill="1" applyAlignment="1" applyProtection="1">
      <alignment horizontal="right"/>
      <protection hidden="1"/>
    </xf>
    <xf numFmtId="0" fontId="0" fillId="2" borderId="0" xfId="0" applyFill="1" applyBorder="1" applyAlignment="1" applyProtection="1">
      <alignment horizontal="left" vertical="top" wrapText="1"/>
      <protection hidden="1"/>
    </xf>
    <xf numFmtId="0" fontId="19" fillId="2" borderId="0" xfId="0" applyFont="1" applyFill="1" applyAlignment="1" applyProtection="1">
      <alignment vertical="top" wrapText="1"/>
      <protection hidden="1"/>
    </xf>
    <xf numFmtId="0" fontId="29" fillId="2" borderId="1" xfId="0" applyFont="1" applyFill="1" applyBorder="1" applyAlignment="1" applyProtection="1">
      <alignment horizontal="center" wrapText="1"/>
      <protection hidden="1"/>
    </xf>
    <xf numFmtId="0" fontId="19" fillId="0" borderId="0" xfId="0" applyFont="1" applyFill="1" applyAlignment="1" applyProtection="1">
      <alignment vertical="top" wrapText="1"/>
      <protection hidden="1"/>
    </xf>
    <xf numFmtId="0" fontId="0" fillId="0" borderId="0" xfId="0"/>
    <xf numFmtId="0" fontId="26" fillId="4" borderId="0" xfId="0" applyFont="1" applyFill="1" applyAlignment="1" applyProtection="1">
      <alignment horizontal="left"/>
      <protection hidden="1"/>
    </xf>
    <xf numFmtId="0" fontId="0" fillId="4" borderId="0" xfId="0" applyFill="1" applyAlignment="1" applyProtection="1">
      <alignment horizontal="left"/>
      <protection hidden="1"/>
    </xf>
    <xf numFmtId="0" fontId="0" fillId="4" borderId="0" xfId="0" applyFont="1" applyFill="1"/>
    <xf numFmtId="0" fontId="19" fillId="4" borderId="0" xfId="0" applyFont="1" applyFill="1" applyBorder="1" applyAlignment="1" applyProtection="1">
      <alignment vertical="top" wrapText="1"/>
      <protection hidden="1"/>
    </xf>
    <xf numFmtId="0" fontId="17" fillId="4" borderId="0" xfId="0" applyFont="1" applyFill="1" applyBorder="1" applyAlignment="1" applyProtection="1">
      <alignment horizontal="right" vertical="center"/>
      <protection hidden="1"/>
    </xf>
    <xf numFmtId="0" fontId="12" fillId="4" borderId="0" xfId="0" applyFont="1" applyFill="1" applyAlignment="1" applyProtection="1">
      <alignment vertical="top" wrapText="1"/>
      <protection hidden="1"/>
    </xf>
    <xf numFmtId="0" fontId="0" fillId="4" borderId="0" xfId="0" applyFont="1" applyFill="1" applyAlignment="1" applyProtection="1">
      <alignment horizontal="left" vertical="top" wrapText="1"/>
      <protection hidden="1"/>
    </xf>
    <xf numFmtId="0" fontId="0" fillId="4" borderId="0" xfId="0" applyFont="1" applyFill="1" applyProtection="1">
      <protection hidden="1"/>
    </xf>
    <xf numFmtId="0" fontId="10" fillId="4" borderId="0" xfId="0" applyFont="1" applyFill="1" applyBorder="1" applyAlignment="1" applyProtection="1">
      <alignment horizontal="left" vertical="center" wrapText="1"/>
      <protection hidden="1"/>
    </xf>
    <xf numFmtId="0" fontId="38" fillId="2" borderId="0" xfId="0" applyFont="1" applyFill="1" applyProtection="1">
      <protection hidden="1"/>
    </xf>
    <xf numFmtId="0" fontId="0" fillId="2" borderId="0" xfId="0" applyFont="1" applyFill="1" applyAlignment="1" applyProtection="1">
      <alignment vertical="top"/>
      <protection hidden="1"/>
    </xf>
    <xf numFmtId="0" fontId="38" fillId="2" borderId="0" xfId="0" applyFont="1" applyFill="1" applyAlignment="1" applyProtection="1">
      <alignment vertical="top" wrapText="1"/>
      <protection hidden="1"/>
    </xf>
    <xf numFmtId="0" fontId="26" fillId="4" borderId="0" xfId="0" applyFont="1" applyFill="1" applyBorder="1" applyAlignment="1" applyProtection="1">
      <alignment horizontal="left" wrapText="1"/>
      <protection hidden="1"/>
    </xf>
    <xf numFmtId="0" fontId="29" fillId="2" borderId="14" xfId="0" applyFont="1" applyFill="1" applyBorder="1" applyAlignment="1" applyProtection="1">
      <alignment horizontal="center" wrapText="1"/>
      <protection hidden="1"/>
    </xf>
    <xf numFmtId="0" fontId="12" fillId="5" borderId="31" xfId="0" applyFont="1" applyFill="1" applyBorder="1" applyAlignment="1" applyProtection="1">
      <alignment horizontal="center" vertical="center"/>
      <protection hidden="1"/>
    </xf>
    <xf numFmtId="0" fontId="12" fillId="5" borderId="26" xfId="0" applyFont="1" applyFill="1" applyBorder="1" applyAlignment="1" applyProtection="1">
      <alignment horizontal="center" vertical="center"/>
      <protection hidden="1"/>
    </xf>
    <xf numFmtId="164" fontId="12" fillId="5" borderId="29" xfId="2" applyNumberFormat="1" applyFont="1" applyFill="1" applyBorder="1" applyAlignment="1" applyProtection="1">
      <alignment horizontal="center" vertical="center"/>
      <protection hidden="1"/>
    </xf>
    <xf numFmtId="0" fontId="6" fillId="3" borderId="27" xfId="0" applyFont="1" applyFill="1" applyBorder="1" applyAlignment="1" applyProtection="1">
      <alignment horizontal="right" vertical="center"/>
      <protection hidden="1"/>
    </xf>
    <xf numFmtId="0" fontId="40" fillId="2" borderId="0" xfId="0" applyFont="1" applyFill="1" applyAlignment="1" applyProtection="1">
      <alignment horizontal="center" wrapText="1"/>
      <protection hidden="1"/>
    </xf>
    <xf numFmtId="0" fontId="41" fillId="2" borderId="0" xfId="0" applyFont="1" applyFill="1" applyAlignment="1" applyProtection="1">
      <alignment horizontal="left" vertical="top" wrapText="1"/>
      <protection hidden="1"/>
    </xf>
    <xf numFmtId="0" fontId="42" fillId="4" borderId="0" xfId="0" applyFont="1" applyFill="1" applyProtection="1">
      <protection hidden="1"/>
    </xf>
    <xf numFmtId="0" fontId="26" fillId="6" borderId="32" xfId="0" applyFont="1" applyFill="1" applyBorder="1" applyProtection="1">
      <protection hidden="1"/>
    </xf>
    <xf numFmtId="0" fontId="31" fillId="4" borderId="7" xfId="0" applyFont="1" applyFill="1" applyBorder="1" applyAlignment="1" applyProtection="1">
      <alignment horizontal="center" vertical="center"/>
      <protection locked="0"/>
    </xf>
    <xf numFmtId="0" fontId="26" fillId="4" borderId="0" xfId="0" applyFont="1" applyFill="1" applyBorder="1" applyAlignment="1" applyProtection="1">
      <alignment horizontal="left"/>
      <protection hidden="1"/>
    </xf>
    <xf numFmtId="0" fontId="26" fillId="4" borderId="0" xfId="0" applyFont="1" applyFill="1" applyProtection="1">
      <protection hidden="1"/>
    </xf>
    <xf numFmtId="0" fontId="0" fillId="5" borderId="0" xfId="0" applyFill="1" applyBorder="1" applyAlignment="1" applyProtection="1">
      <alignment horizontal="center" vertical="center"/>
      <protection hidden="1"/>
    </xf>
    <xf numFmtId="0" fontId="31" fillId="4" borderId="42" xfId="0" applyFont="1" applyFill="1" applyBorder="1" applyAlignment="1" applyProtection="1">
      <alignment horizontal="center" vertical="center"/>
      <protection locked="0"/>
    </xf>
    <xf numFmtId="0" fontId="0" fillId="2" borderId="0" xfId="0" applyFill="1" applyBorder="1" applyAlignment="1" applyProtection="1">
      <alignment horizontal="left"/>
      <protection hidden="1"/>
    </xf>
    <xf numFmtId="0" fontId="0" fillId="8" borderId="0" xfId="0" applyFont="1" applyFill="1" applyProtection="1">
      <protection hidden="1"/>
    </xf>
    <xf numFmtId="0" fontId="8" fillId="3" borderId="27" xfId="0" applyFont="1" applyFill="1" applyBorder="1" applyAlignment="1" applyProtection="1">
      <alignment horizontal="right" vertical="center"/>
      <protection hidden="1"/>
    </xf>
    <xf numFmtId="0" fontId="8" fillId="3" borderId="27" xfId="0" applyFont="1" applyFill="1" applyBorder="1" applyAlignment="1" applyProtection="1">
      <alignment horizontal="right" vertical="center" wrapText="1"/>
      <protection hidden="1"/>
    </xf>
    <xf numFmtId="0" fontId="0" fillId="0" borderId="0" xfId="0" applyBorder="1"/>
    <xf numFmtId="0" fontId="0" fillId="0" borderId="2" xfId="0" applyBorder="1"/>
    <xf numFmtId="0" fontId="0" fillId="12" borderId="2" xfId="0" applyFill="1" applyBorder="1"/>
    <xf numFmtId="0" fontId="0" fillId="0" borderId="5" xfId="0" applyBorder="1"/>
    <xf numFmtId="0" fontId="0" fillId="12" borderId="5" xfId="0" applyFill="1" applyBorder="1"/>
    <xf numFmtId="0" fontId="26" fillId="10" borderId="62" xfId="0" applyFont="1" applyFill="1" applyBorder="1"/>
    <xf numFmtId="0" fontId="0" fillId="0" borderId="3" xfId="0" applyBorder="1"/>
    <xf numFmtId="0" fontId="0" fillId="12" borderId="3" xfId="0" applyFill="1" applyBorder="1"/>
    <xf numFmtId="0" fontId="37" fillId="13" borderId="62" xfId="0" applyFont="1" applyFill="1" applyBorder="1"/>
    <xf numFmtId="0" fontId="26" fillId="10" borderId="50" xfId="0" applyFont="1" applyFill="1" applyBorder="1" applyAlignment="1" applyProtection="1">
      <alignment wrapText="1"/>
      <protection hidden="1"/>
    </xf>
    <xf numFmtId="0" fontId="0" fillId="8" borderId="61" xfId="0" applyFont="1" applyFill="1" applyBorder="1"/>
    <xf numFmtId="0" fontId="26" fillId="10" borderId="10" xfId="0" applyFont="1" applyFill="1" applyBorder="1" applyAlignment="1" applyProtection="1">
      <alignment wrapText="1"/>
      <protection hidden="1"/>
    </xf>
    <xf numFmtId="0" fontId="26" fillId="6" borderId="0" xfId="0" applyFont="1" applyFill="1" applyBorder="1" applyProtection="1">
      <protection hidden="1"/>
    </xf>
    <xf numFmtId="0" fontId="0" fillId="8" borderId="62" xfId="0" applyFill="1" applyBorder="1"/>
    <xf numFmtId="0" fontId="1" fillId="5" borderId="50" xfId="0" applyFont="1" applyFill="1" applyBorder="1" applyAlignment="1" applyProtection="1">
      <alignment vertical="center"/>
      <protection hidden="1"/>
    </xf>
    <xf numFmtId="0" fontId="1" fillId="5" borderId="63" xfId="0" applyFont="1" applyFill="1" applyBorder="1" applyAlignment="1" applyProtection="1">
      <alignment horizontal="left" vertical="center"/>
      <protection hidden="1"/>
    </xf>
    <xf numFmtId="0" fontId="26" fillId="2" borderId="0" xfId="0" applyFont="1" applyFill="1" applyProtection="1">
      <protection hidden="1"/>
    </xf>
    <xf numFmtId="0" fontId="26" fillId="10" borderId="85" xfId="0" applyFont="1" applyFill="1" applyBorder="1"/>
    <xf numFmtId="0" fontId="0" fillId="8" borderId="63" xfId="0" applyFill="1" applyBorder="1"/>
    <xf numFmtId="0" fontId="0" fillId="8" borderId="5" xfId="0" applyFill="1" applyBorder="1"/>
    <xf numFmtId="0" fontId="0" fillId="8" borderId="2" xfId="0" applyFill="1" applyBorder="1"/>
    <xf numFmtId="0" fontId="0" fillId="8" borderId="0" xfId="0" applyFill="1"/>
    <xf numFmtId="0" fontId="0" fillId="0" borderId="15" xfId="0" applyBorder="1"/>
    <xf numFmtId="0" fontId="0" fillId="12" borderId="15" xfId="0" applyFill="1" applyBorder="1"/>
    <xf numFmtId="0" fontId="31" fillId="3" borderId="40" xfId="0" applyFont="1" applyFill="1" applyBorder="1" applyAlignment="1" applyProtection="1">
      <alignment horizontal="center" vertical="center"/>
      <protection locked="0"/>
    </xf>
    <xf numFmtId="0" fontId="0" fillId="2" borderId="2" xfId="0" applyFill="1" applyBorder="1" applyProtection="1">
      <protection hidden="1"/>
    </xf>
    <xf numFmtId="0" fontId="0" fillId="3" borderId="0" xfId="0" applyFill="1" applyAlignment="1" applyProtection="1">
      <alignment horizontal="center"/>
      <protection hidden="1"/>
    </xf>
    <xf numFmtId="0" fontId="0" fillId="3" borderId="38" xfId="0" applyFill="1" applyBorder="1" applyAlignment="1" applyProtection="1">
      <alignment horizontal="center"/>
      <protection hidden="1"/>
    </xf>
    <xf numFmtId="0" fontId="0" fillId="2" borderId="53" xfId="0" applyFill="1" applyBorder="1" applyProtection="1">
      <protection hidden="1"/>
    </xf>
    <xf numFmtId="0" fontId="0" fillId="2" borderId="55" xfId="0" applyFill="1" applyBorder="1" applyProtection="1">
      <protection hidden="1"/>
    </xf>
    <xf numFmtId="0" fontId="0" fillId="2" borderId="56" xfId="0" applyFill="1" applyBorder="1" applyProtection="1">
      <protection hidden="1"/>
    </xf>
    <xf numFmtId="0" fontId="0" fillId="2" borderId="58" xfId="0" applyFill="1" applyBorder="1" applyProtection="1">
      <protection hidden="1"/>
    </xf>
    <xf numFmtId="0" fontId="31" fillId="3" borderId="6" xfId="0" applyFont="1" applyFill="1" applyBorder="1" applyAlignment="1" applyProtection="1">
      <alignment horizontal="center" vertical="center"/>
      <protection locked="0"/>
    </xf>
    <xf numFmtId="0" fontId="26" fillId="6" borderId="100" xfId="0" applyFont="1" applyFill="1" applyBorder="1" applyProtection="1">
      <protection hidden="1"/>
    </xf>
    <xf numFmtId="0" fontId="31" fillId="5" borderId="32" xfId="0" applyFont="1" applyFill="1" applyBorder="1" applyAlignment="1" applyProtection="1">
      <alignment horizontal="center" vertical="center"/>
      <protection hidden="1"/>
    </xf>
    <xf numFmtId="0" fontId="3" fillId="4" borderId="2" xfId="0" applyFont="1" applyFill="1" applyBorder="1" applyProtection="1">
      <protection hidden="1"/>
    </xf>
    <xf numFmtId="0" fontId="31" fillId="4" borderId="2" xfId="0" applyFont="1" applyFill="1" applyBorder="1" applyAlignment="1" applyProtection="1">
      <alignment horizontal="left" vertical="center" wrapText="1"/>
      <protection locked="0"/>
    </xf>
    <xf numFmtId="0" fontId="31" fillId="4" borderId="4" xfId="0" applyFont="1" applyFill="1" applyBorder="1" applyAlignment="1" applyProtection="1">
      <alignment horizontal="left" vertical="center" wrapText="1"/>
      <protection locked="0"/>
    </xf>
    <xf numFmtId="0" fontId="31" fillId="4" borderId="2" xfId="0" applyFont="1" applyFill="1" applyBorder="1" applyAlignment="1" applyProtection="1">
      <alignment horizontal="center" vertical="center" wrapText="1"/>
      <protection locked="0"/>
    </xf>
    <xf numFmtId="0" fontId="31" fillId="4" borderId="34" xfId="0" applyFont="1" applyFill="1" applyBorder="1" applyAlignment="1" applyProtection="1">
      <alignment horizontal="center" vertical="center" wrapText="1"/>
      <protection locked="0"/>
    </xf>
    <xf numFmtId="0" fontId="0" fillId="4" borderId="0" xfId="0" applyFill="1" applyAlignment="1">
      <alignment wrapText="1"/>
    </xf>
    <xf numFmtId="0" fontId="31" fillId="4" borderId="42" xfId="0" applyFont="1" applyFill="1" applyBorder="1" applyAlignment="1" applyProtection="1">
      <alignment horizontal="center" vertical="center" wrapText="1"/>
      <protection locked="0"/>
    </xf>
    <xf numFmtId="0" fontId="31" fillId="4" borderId="7" xfId="0" applyFont="1" applyFill="1" applyBorder="1" applyAlignment="1" applyProtection="1">
      <alignment horizontal="center" vertical="center" wrapText="1"/>
      <protection locked="0"/>
    </xf>
    <xf numFmtId="0" fontId="1" fillId="5" borderId="52" xfId="0" applyFont="1" applyFill="1" applyBorder="1" applyAlignment="1" applyProtection="1">
      <alignment vertical="center"/>
      <protection hidden="1"/>
    </xf>
    <xf numFmtId="0" fontId="1" fillId="5" borderId="53" xfId="0" applyFont="1" applyFill="1" applyBorder="1" applyAlignment="1" applyProtection="1">
      <alignment vertical="center"/>
      <protection hidden="1"/>
    </xf>
    <xf numFmtId="0" fontId="1" fillId="5" borderId="57" xfId="0" applyFont="1" applyFill="1" applyBorder="1" applyAlignment="1" applyProtection="1">
      <alignment horizontal="left" vertical="center"/>
      <protection hidden="1"/>
    </xf>
    <xf numFmtId="0" fontId="1" fillId="5" borderId="58" xfId="0" applyFont="1" applyFill="1" applyBorder="1" applyAlignment="1" applyProtection="1">
      <alignment vertical="center"/>
      <protection hidden="1"/>
    </xf>
    <xf numFmtId="10" fontId="10" fillId="5" borderId="102" xfId="2" applyNumberFormat="1" applyFont="1" applyFill="1" applyBorder="1" applyAlignment="1" applyProtection="1">
      <alignment horizontal="left" vertical="center"/>
      <protection hidden="1"/>
    </xf>
    <xf numFmtId="0" fontId="37" fillId="0" borderId="0" xfId="0" applyFont="1" applyFill="1" applyProtection="1">
      <protection hidden="1"/>
    </xf>
    <xf numFmtId="0" fontId="47" fillId="3" borderId="104" xfId="0" applyFont="1" applyFill="1" applyBorder="1" applyAlignment="1" applyProtection="1">
      <alignment horizontal="left" vertical="center"/>
      <protection hidden="1"/>
    </xf>
    <xf numFmtId="0" fontId="0" fillId="8" borderId="2" xfId="0" applyFill="1" applyBorder="1" applyProtection="1">
      <protection hidden="1"/>
    </xf>
    <xf numFmtId="0" fontId="14" fillId="0" borderId="0" xfId="0" applyFont="1" applyFill="1" applyBorder="1" applyAlignment="1" applyProtection="1">
      <alignment vertical="center"/>
      <protection hidden="1"/>
    </xf>
    <xf numFmtId="0" fontId="0" fillId="8" borderId="0" xfId="0" applyFill="1" applyProtection="1">
      <protection hidden="1"/>
    </xf>
    <xf numFmtId="0" fontId="0" fillId="8" borderId="0" xfId="0" applyFill="1" applyBorder="1" applyProtection="1">
      <protection hidden="1"/>
    </xf>
    <xf numFmtId="0" fontId="0" fillId="5" borderId="4" xfId="0" applyFill="1" applyBorder="1" applyAlignment="1" applyProtection="1">
      <alignment horizontal="right"/>
      <protection hidden="1"/>
    </xf>
    <xf numFmtId="14" fontId="0" fillId="5" borderId="7" xfId="0" applyNumberFormat="1" applyFill="1" applyBorder="1" applyAlignment="1" applyProtection="1">
      <alignment horizontal="left"/>
      <protection hidden="1"/>
    </xf>
    <xf numFmtId="0" fontId="18" fillId="3" borderId="6" xfId="0" applyFont="1" applyFill="1" applyBorder="1" applyProtection="1">
      <protection hidden="1"/>
    </xf>
    <xf numFmtId="0" fontId="17" fillId="3" borderId="6" xfId="0" applyFont="1" applyFill="1" applyBorder="1" applyAlignment="1" applyProtection="1">
      <alignment horizontal="right" vertical="center"/>
      <protection hidden="1"/>
    </xf>
    <xf numFmtId="0" fontId="4" fillId="5" borderId="6" xfId="0" applyFont="1" applyFill="1" applyBorder="1" applyAlignment="1" applyProtection="1">
      <alignment horizontal="left" vertical="center"/>
      <protection hidden="1"/>
    </xf>
    <xf numFmtId="0" fontId="0" fillId="5" borderId="6" xfId="0" applyFont="1" applyFill="1" applyBorder="1" applyProtection="1">
      <protection hidden="1"/>
    </xf>
    <xf numFmtId="0" fontId="0" fillId="5" borderId="6" xfId="0" applyFill="1" applyBorder="1" applyProtection="1">
      <protection hidden="1"/>
    </xf>
    <xf numFmtId="0" fontId="17" fillId="3" borderId="27" xfId="0" applyFont="1" applyFill="1" applyBorder="1" applyProtection="1">
      <protection hidden="1"/>
    </xf>
    <xf numFmtId="0" fontId="17" fillId="3" borderId="105" xfId="0" applyFont="1" applyFill="1" applyBorder="1" applyProtection="1">
      <protection hidden="1"/>
    </xf>
    <xf numFmtId="0" fontId="6" fillId="3" borderId="109" xfId="0" applyFont="1" applyFill="1" applyBorder="1" applyAlignment="1" applyProtection="1">
      <alignment horizontal="right" vertical="center"/>
      <protection hidden="1"/>
    </xf>
    <xf numFmtId="0" fontId="6" fillId="3" borderId="107" xfId="0" applyFont="1" applyFill="1" applyBorder="1" applyAlignment="1" applyProtection="1">
      <alignment horizontal="right" vertical="center"/>
      <protection hidden="1"/>
    </xf>
    <xf numFmtId="0" fontId="0" fillId="4" borderId="110" xfId="0" applyFill="1" applyBorder="1"/>
    <xf numFmtId="0" fontId="0" fillId="4" borderId="111" xfId="0" applyFill="1" applyBorder="1"/>
    <xf numFmtId="0" fontId="0" fillId="4" borderId="54" xfId="0" applyFill="1" applyBorder="1"/>
    <xf numFmtId="0" fontId="0" fillId="4" borderId="2" xfId="0" applyFill="1" applyBorder="1"/>
    <xf numFmtId="0" fontId="0" fillId="4" borderId="55" xfId="0" applyFill="1" applyBorder="1"/>
    <xf numFmtId="0" fontId="0" fillId="4" borderId="56" xfId="0" applyFill="1" applyBorder="1"/>
    <xf numFmtId="0" fontId="0" fillId="4" borderId="57" xfId="0" applyFill="1" applyBorder="1"/>
    <xf numFmtId="0" fontId="0" fillId="4" borderId="58" xfId="0" applyFill="1" applyBorder="1"/>
    <xf numFmtId="0" fontId="0" fillId="4" borderId="52" xfId="0" applyFont="1" applyFill="1" applyBorder="1"/>
    <xf numFmtId="0" fontId="0" fillId="4" borderId="78" xfId="0" applyFont="1" applyFill="1" applyBorder="1"/>
    <xf numFmtId="0" fontId="0" fillId="2" borderId="11" xfId="0" applyFill="1" applyBorder="1" applyAlignment="1" applyProtection="1">
      <protection hidden="1"/>
    </xf>
    <xf numFmtId="0" fontId="19" fillId="4" borderId="0" xfId="0" applyFont="1" applyFill="1" applyAlignment="1" applyProtection="1">
      <alignment horizontal="left" vertical="top" wrapText="1"/>
      <protection hidden="1"/>
    </xf>
    <xf numFmtId="0" fontId="17" fillId="3" borderId="25" xfId="0" applyFont="1" applyFill="1" applyBorder="1" applyAlignment="1" applyProtection="1">
      <alignment horizontal="left" vertical="center"/>
      <protection hidden="1"/>
    </xf>
    <xf numFmtId="0" fontId="17" fillId="3" borderId="24" xfId="0" applyFont="1" applyFill="1" applyBorder="1" applyAlignment="1" applyProtection="1">
      <alignment horizontal="left" vertical="center"/>
      <protection hidden="1"/>
    </xf>
    <xf numFmtId="0" fontId="30" fillId="2" borderId="14" xfId="0" applyFont="1" applyFill="1" applyBorder="1" applyAlignment="1" applyProtection="1">
      <alignment horizontal="left"/>
      <protection hidden="1"/>
    </xf>
    <xf numFmtId="9" fontId="0" fillId="4" borderId="2" xfId="0" applyNumberFormat="1" applyFont="1" applyFill="1" applyBorder="1"/>
    <xf numFmtId="0" fontId="0" fillId="2" borderId="51" xfId="0" applyFont="1" applyFill="1" applyBorder="1" applyProtection="1">
      <protection hidden="1"/>
    </xf>
    <xf numFmtId="0" fontId="0" fillId="4" borderId="53" xfId="0" applyFont="1" applyFill="1" applyBorder="1"/>
    <xf numFmtId="0" fontId="0" fillId="2" borderId="54" xfId="0" applyFont="1" applyFill="1" applyBorder="1" applyProtection="1">
      <protection hidden="1"/>
    </xf>
    <xf numFmtId="0" fontId="0" fillId="2" borderId="56" xfId="0" applyFont="1" applyFill="1" applyBorder="1" applyProtection="1">
      <protection hidden="1"/>
    </xf>
    <xf numFmtId="9" fontId="0" fillId="4" borderId="57" xfId="0" applyNumberFormat="1" applyFont="1" applyFill="1" applyBorder="1"/>
    <xf numFmtId="0" fontId="18" fillId="3" borderId="24" xfId="0" applyFont="1" applyFill="1" applyBorder="1" applyAlignment="1" applyProtection="1">
      <alignment horizontal="left" vertical="center"/>
      <protection hidden="1"/>
    </xf>
    <xf numFmtId="0" fontId="6" fillId="3" borderId="27" xfId="0" applyFont="1" applyFill="1" applyBorder="1" applyAlignment="1" applyProtection="1">
      <alignment horizontal="left" vertical="center"/>
      <protection hidden="1"/>
    </xf>
    <xf numFmtId="0" fontId="11" fillId="5" borderId="26" xfId="0" applyFont="1" applyFill="1" applyBorder="1" applyAlignment="1" applyProtection="1">
      <alignment horizontal="center" vertical="center"/>
      <protection hidden="1"/>
    </xf>
    <xf numFmtId="0" fontId="0" fillId="2" borderId="0" xfId="0" applyFill="1" applyBorder="1" applyAlignment="1" applyProtection="1">
      <protection hidden="1"/>
    </xf>
    <xf numFmtId="9" fontId="0" fillId="4" borderId="55" xfId="0" applyNumberFormat="1" applyFont="1" applyFill="1" applyBorder="1"/>
    <xf numFmtId="9" fontId="0" fillId="4" borderId="58" xfId="0" applyNumberFormat="1" applyFont="1" applyFill="1" applyBorder="1"/>
    <xf numFmtId="0" fontId="0" fillId="5" borderId="6" xfId="0" applyFill="1" applyBorder="1" applyAlignment="1" applyProtection="1">
      <alignment horizontal="right"/>
      <protection hidden="1"/>
    </xf>
    <xf numFmtId="0" fontId="21" fillId="4" borderId="0" xfId="0" applyFont="1" applyFill="1" applyBorder="1" applyAlignment="1" applyProtection="1">
      <alignment vertical="top" wrapText="1"/>
      <protection hidden="1"/>
    </xf>
    <xf numFmtId="0" fontId="26" fillId="2" borderId="0" xfId="0" applyFont="1" applyFill="1" applyBorder="1" applyProtection="1">
      <protection hidden="1"/>
    </xf>
    <xf numFmtId="0" fontId="0" fillId="8" borderId="0" xfId="0" applyFont="1" applyFill="1" applyAlignment="1" applyProtection="1">
      <alignment vertical="top"/>
      <protection hidden="1"/>
    </xf>
    <xf numFmtId="0" fontId="0" fillId="0" borderId="0" xfId="0" applyProtection="1"/>
    <xf numFmtId="0" fontId="0" fillId="0" borderId="0" xfId="0" applyFill="1" applyProtection="1"/>
    <xf numFmtId="0" fontId="15" fillId="4" borderId="0" xfId="0" applyFont="1" applyFill="1" applyAlignment="1" applyProtection="1">
      <alignment vertical="center" wrapText="1"/>
    </xf>
    <xf numFmtId="0" fontId="0" fillId="2" borderId="0" xfId="0" applyFill="1" applyProtection="1"/>
    <xf numFmtId="0" fontId="0" fillId="2" borderId="0" xfId="0" applyFont="1" applyFill="1" applyProtection="1"/>
    <xf numFmtId="0" fontId="0" fillId="0" borderId="0" xfId="0" applyBorder="1" applyProtection="1"/>
    <xf numFmtId="0" fontId="35" fillId="2" borderId="0" xfId="0" applyFont="1" applyFill="1" applyBorder="1" applyAlignment="1" applyProtection="1">
      <alignment horizontal="left" vertical="center"/>
    </xf>
    <xf numFmtId="0" fontId="46" fillId="2" borderId="0" xfId="0" applyFont="1" applyFill="1" applyBorder="1" applyAlignment="1" applyProtection="1">
      <alignment horizontal="left" vertical="center"/>
    </xf>
    <xf numFmtId="0" fontId="12" fillId="2" borderId="1" xfId="0" applyFont="1" applyFill="1" applyBorder="1" applyProtection="1"/>
    <xf numFmtId="0" fontId="8" fillId="3" borderId="32" xfId="0" applyFont="1" applyFill="1" applyBorder="1" applyAlignment="1" applyProtection="1">
      <alignment horizontal="left" vertical="center"/>
    </xf>
    <xf numFmtId="0" fontId="0" fillId="4" borderId="38" xfId="0" applyFill="1" applyBorder="1" applyProtection="1"/>
    <xf numFmtId="0" fontId="8" fillId="3" borderId="44" xfId="0" applyFont="1" applyFill="1" applyBorder="1" applyAlignment="1" applyProtection="1">
      <alignment horizontal="left" vertical="center"/>
    </xf>
    <xf numFmtId="0" fontId="8" fillId="3" borderId="43" xfId="0" applyFont="1" applyFill="1" applyBorder="1" applyAlignment="1" applyProtection="1">
      <alignment horizontal="left" vertical="center"/>
    </xf>
    <xf numFmtId="0" fontId="1" fillId="5" borderId="36" xfId="0" applyFont="1" applyFill="1" applyBorder="1" applyAlignment="1" applyProtection="1">
      <alignment horizontal="left" vertical="center"/>
    </xf>
    <xf numFmtId="0" fontId="0" fillId="4" borderId="0" xfId="0" applyFill="1" applyProtection="1"/>
    <xf numFmtId="0" fontId="8" fillId="3" borderId="28" xfId="0" applyFont="1" applyFill="1" applyBorder="1" applyAlignment="1" applyProtection="1">
      <alignment horizontal="left" vertical="center"/>
    </xf>
    <xf numFmtId="0" fontId="8" fillId="3" borderId="45" xfId="0" applyFont="1" applyFill="1" applyBorder="1" applyAlignment="1" applyProtection="1">
      <alignment horizontal="left" vertical="center"/>
    </xf>
    <xf numFmtId="0" fontId="8" fillId="3" borderId="27" xfId="0" applyFont="1" applyFill="1" applyBorder="1" applyAlignment="1" applyProtection="1">
      <alignment horizontal="left" vertical="center"/>
    </xf>
    <xf numFmtId="0" fontId="1" fillId="5" borderId="35" xfId="0" applyFont="1" applyFill="1" applyBorder="1" applyAlignment="1" applyProtection="1">
      <alignment vertical="center"/>
    </xf>
    <xf numFmtId="0" fontId="44" fillId="2" borderId="0" xfId="0" applyFont="1" applyFill="1" applyBorder="1" applyAlignment="1" applyProtection="1">
      <alignment horizontal="left" wrapText="1"/>
    </xf>
    <xf numFmtId="0" fontId="48" fillId="2" borderId="98" xfId="0" applyFont="1" applyFill="1" applyBorder="1" applyAlignment="1" applyProtection="1">
      <alignment horizontal="left" vertical="top" wrapText="1"/>
    </xf>
    <xf numFmtId="0" fontId="34" fillId="2" borderId="0" xfId="0" applyFont="1" applyFill="1" applyBorder="1" applyAlignment="1" applyProtection="1">
      <alignment horizontal="left" wrapText="1"/>
    </xf>
    <xf numFmtId="0" fontId="34" fillId="2" borderId="99" xfId="0" applyFont="1" applyFill="1" applyBorder="1" applyAlignment="1" applyProtection="1">
      <alignment horizontal="left" wrapText="1"/>
    </xf>
    <xf numFmtId="0" fontId="0" fillId="4" borderId="38" xfId="0" applyFill="1" applyBorder="1" applyAlignment="1" applyProtection="1">
      <alignment wrapText="1"/>
    </xf>
    <xf numFmtId="0" fontId="48" fillId="2" borderId="38" xfId="0" applyFont="1" applyFill="1" applyBorder="1" applyAlignment="1" applyProtection="1">
      <alignment horizontal="left" vertical="top" wrapText="1"/>
    </xf>
    <xf numFmtId="0" fontId="34" fillId="2" borderId="99" xfId="0" applyFont="1" applyFill="1" applyBorder="1" applyAlignment="1" applyProtection="1">
      <alignment vertical="top" wrapText="1"/>
    </xf>
    <xf numFmtId="0" fontId="34" fillId="2" borderId="99" xfId="0" applyFont="1" applyFill="1" applyBorder="1" applyAlignment="1" applyProtection="1">
      <alignment horizontal="left" vertical="top" wrapText="1"/>
    </xf>
    <xf numFmtId="0" fontId="34" fillId="2" borderId="33" xfId="0" applyFont="1" applyFill="1" applyBorder="1" applyAlignment="1" applyProtection="1">
      <alignment horizontal="center" vertical="top" wrapText="1"/>
    </xf>
    <xf numFmtId="0" fontId="0" fillId="4" borderId="0" xfId="0" applyFill="1" applyAlignment="1" applyProtection="1">
      <alignment vertical="top" wrapText="1"/>
    </xf>
    <xf numFmtId="0" fontId="33" fillId="6" borderId="26" xfId="0" applyFont="1" applyFill="1" applyBorder="1" applyProtection="1"/>
    <xf numFmtId="0" fontId="26" fillId="6" borderId="43" xfId="0" applyFont="1" applyFill="1" applyBorder="1" applyProtection="1"/>
    <xf numFmtId="0" fontId="0" fillId="5" borderId="24" xfId="0" applyFont="1" applyFill="1" applyBorder="1" applyAlignment="1" applyProtection="1">
      <alignment horizontal="left"/>
    </xf>
    <xf numFmtId="0" fontId="31" fillId="5" borderId="35" xfId="0" applyFont="1" applyFill="1" applyBorder="1" applyAlignment="1" applyProtection="1">
      <alignment horizontal="center" vertical="center"/>
    </xf>
    <xf numFmtId="164" fontId="31" fillId="5" borderId="24" xfId="0" applyNumberFormat="1" applyFont="1" applyFill="1" applyBorder="1" applyAlignment="1" applyProtection="1">
      <alignment horizontal="center" vertical="center"/>
    </xf>
    <xf numFmtId="0" fontId="0" fillId="5" borderId="24" xfId="0" applyFill="1" applyBorder="1" applyAlignment="1" applyProtection="1">
      <alignment vertical="center"/>
    </xf>
    <xf numFmtId="0" fontId="31" fillId="5" borderId="24" xfId="0" applyFont="1" applyFill="1" applyBorder="1" applyAlignment="1" applyProtection="1"/>
    <xf numFmtId="0" fontId="31" fillId="5" borderId="24" xfId="0" applyFont="1" applyFill="1" applyBorder="1" applyAlignment="1" applyProtection="1">
      <alignment vertical="center"/>
    </xf>
    <xf numFmtId="0" fontId="37" fillId="5" borderId="89" xfId="0" applyFont="1" applyFill="1" applyBorder="1" applyAlignment="1" applyProtection="1">
      <alignment horizontal="left"/>
    </xf>
    <xf numFmtId="0" fontId="45" fillId="5" borderId="90" xfId="0" applyFont="1" applyFill="1" applyBorder="1" applyAlignment="1" applyProtection="1">
      <alignment horizontal="center" vertical="center"/>
    </xf>
    <xf numFmtId="164" fontId="45" fillId="5" borderId="89" xfId="0" applyNumberFormat="1" applyFont="1" applyFill="1" applyBorder="1" applyAlignment="1" applyProtection="1">
      <alignment horizontal="center" vertical="center"/>
    </xf>
    <xf numFmtId="0" fontId="31" fillId="5" borderId="92" xfId="0" applyFont="1" applyFill="1" applyBorder="1" applyAlignment="1" applyProtection="1">
      <alignment horizontal="left" vertical="center"/>
    </xf>
    <xf numFmtId="0" fontId="0" fillId="2" borderId="0" xfId="0" applyFill="1" applyBorder="1" applyAlignment="1" applyProtection="1">
      <alignment horizontal="left"/>
    </xf>
    <xf numFmtId="0" fontId="0" fillId="2" borderId="0" xfId="0" applyFill="1" applyBorder="1" applyProtection="1"/>
    <xf numFmtId="0" fontId="33" fillId="6" borderId="0" xfId="0" applyFont="1" applyFill="1" applyBorder="1" applyAlignment="1" applyProtection="1">
      <alignment horizontal="left"/>
    </xf>
    <xf numFmtId="0" fontId="0" fillId="5" borderId="26" xfId="0" applyFill="1" applyBorder="1" applyAlignment="1" applyProtection="1">
      <alignment horizontal="left" vertical="center"/>
    </xf>
    <xf numFmtId="0" fontId="31" fillId="5" borderId="26" xfId="0" applyFont="1" applyFill="1" applyBorder="1" applyAlignment="1" applyProtection="1"/>
    <xf numFmtId="0" fontId="31" fillId="5" borderId="26" xfId="0" applyFont="1" applyFill="1" applyBorder="1" applyAlignment="1" applyProtection="1">
      <alignment vertical="center"/>
    </xf>
    <xf numFmtId="0" fontId="0" fillId="5" borderId="26" xfId="0" applyFill="1" applyBorder="1" applyAlignment="1" applyProtection="1">
      <alignment vertical="center"/>
    </xf>
    <xf numFmtId="164" fontId="26" fillId="6" borderId="43" xfId="0" applyNumberFormat="1" applyFont="1" applyFill="1" applyBorder="1" applyProtection="1"/>
    <xf numFmtId="0" fontId="0" fillId="5" borderId="24" xfId="0" applyFont="1" applyFill="1" applyBorder="1" applyAlignment="1" applyProtection="1">
      <alignment horizontal="left" wrapText="1"/>
    </xf>
    <xf numFmtId="164" fontId="31" fillId="5" borderId="0" xfId="0" applyNumberFormat="1" applyFont="1" applyFill="1" applyBorder="1" applyAlignment="1" applyProtection="1">
      <alignment horizontal="center" vertical="center"/>
    </xf>
    <xf numFmtId="0" fontId="31" fillId="5" borderId="26" xfId="0" applyFont="1" applyFill="1" applyBorder="1" applyAlignment="1" applyProtection="1">
      <alignment horizontal="left" vertical="center"/>
    </xf>
    <xf numFmtId="0" fontId="0" fillId="8" borderId="51" xfId="0" applyFill="1" applyBorder="1" applyProtection="1"/>
    <xf numFmtId="0" fontId="0" fillId="0" borderId="0" xfId="0" applyFont="1" applyProtection="1"/>
    <xf numFmtId="0" fontId="0" fillId="4" borderId="0" xfId="0" applyFont="1" applyFill="1" applyProtection="1"/>
    <xf numFmtId="0" fontId="26" fillId="6" borderId="43" xfId="0" applyFont="1" applyFill="1" applyBorder="1" applyProtection="1">
      <protection locked="0"/>
    </xf>
    <xf numFmtId="0" fontId="45" fillId="5" borderId="91" xfId="0" applyFont="1" applyFill="1" applyBorder="1" applyAlignment="1" applyProtection="1">
      <alignment horizontal="center" vertical="center"/>
      <protection locked="0"/>
    </xf>
    <xf numFmtId="0" fontId="0" fillId="2" borderId="0" xfId="0" applyFill="1" applyBorder="1" applyProtection="1">
      <protection locked="0"/>
    </xf>
    <xf numFmtId="0" fontId="26" fillId="4" borderId="38" xfId="0" applyFont="1" applyFill="1" applyBorder="1" applyProtection="1">
      <protection locked="0"/>
    </xf>
    <xf numFmtId="0" fontId="26" fillId="6" borderId="49" xfId="0" applyFont="1" applyFill="1" applyBorder="1" applyProtection="1">
      <protection locked="0"/>
    </xf>
    <xf numFmtId="0" fontId="26" fillId="6" borderId="1" xfId="0" applyFont="1" applyFill="1" applyBorder="1" applyProtection="1">
      <protection locked="0"/>
    </xf>
    <xf numFmtId="0" fontId="26" fillId="6" borderId="39" xfId="0" applyFont="1" applyFill="1" applyBorder="1" applyProtection="1">
      <protection locked="0"/>
    </xf>
    <xf numFmtId="0" fontId="0" fillId="4" borderId="0" xfId="0" applyFill="1" applyProtection="1">
      <protection locked="0"/>
    </xf>
    <xf numFmtId="0" fontId="26" fillId="4" borderId="0" xfId="0" applyFont="1" applyFill="1" applyBorder="1" applyProtection="1">
      <protection locked="0"/>
    </xf>
    <xf numFmtId="0" fontId="0" fillId="4" borderId="0" xfId="0" applyFill="1" applyAlignment="1" applyProtection="1">
      <alignment wrapText="1"/>
      <protection locked="0"/>
    </xf>
    <xf numFmtId="0" fontId="26" fillId="4" borderId="0" xfId="0" applyFont="1" applyFill="1" applyProtection="1">
      <protection locked="0"/>
    </xf>
    <xf numFmtId="0" fontId="31" fillId="5" borderId="94" xfId="0" applyFont="1" applyFill="1" applyBorder="1" applyAlignment="1" applyProtection="1">
      <alignment horizontal="left" vertical="center" wrapText="1"/>
      <protection locked="0"/>
    </xf>
    <xf numFmtId="0" fontId="45" fillId="5" borderId="101" xfId="0" applyFont="1" applyFill="1" applyBorder="1" applyAlignment="1" applyProtection="1">
      <alignment horizontal="center" vertical="center"/>
      <protection locked="0"/>
    </xf>
    <xf numFmtId="0" fontId="31" fillId="5" borderId="95" xfId="0" applyFont="1" applyFill="1" applyBorder="1" applyAlignment="1" applyProtection="1">
      <alignment horizontal="left" vertical="center" wrapText="1"/>
      <protection locked="0"/>
    </xf>
    <xf numFmtId="0" fontId="31" fillId="5" borderId="96" xfId="0" applyFont="1" applyFill="1" applyBorder="1" applyAlignment="1" applyProtection="1">
      <alignment horizontal="center" vertical="center" wrapText="1"/>
      <protection locked="0"/>
    </xf>
    <xf numFmtId="0" fontId="31" fillId="5" borderId="97" xfId="0" applyFont="1" applyFill="1" applyBorder="1" applyAlignment="1" applyProtection="1">
      <alignment horizontal="center" vertical="center" wrapText="1"/>
      <protection locked="0"/>
    </xf>
    <xf numFmtId="0" fontId="45" fillId="5" borderId="101" xfId="0" applyFont="1" applyFill="1" applyBorder="1" applyAlignment="1" applyProtection="1">
      <alignment horizontal="center" vertical="center" wrapText="1"/>
      <protection locked="0"/>
    </xf>
    <xf numFmtId="0" fontId="0" fillId="2" borderId="0" xfId="0" applyFill="1" applyBorder="1" applyAlignment="1" applyProtection="1">
      <alignment horizontal="left" wrapText="1"/>
      <protection locked="0"/>
    </xf>
    <xf numFmtId="0" fontId="0" fillId="2" borderId="0" xfId="0" applyFill="1" applyBorder="1" applyAlignment="1" applyProtection="1">
      <alignment wrapText="1"/>
      <protection locked="0"/>
    </xf>
    <xf numFmtId="0" fontId="0" fillId="4" borderId="0" xfId="0" applyFill="1" applyBorder="1" applyAlignment="1" applyProtection="1">
      <alignment wrapText="1"/>
      <protection locked="0"/>
    </xf>
    <xf numFmtId="0" fontId="26" fillId="6" borderId="43" xfId="0" applyFont="1" applyFill="1" applyBorder="1" applyAlignment="1" applyProtection="1">
      <alignment horizontal="left" wrapText="1"/>
      <protection locked="0"/>
    </xf>
    <xf numFmtId="0" fontId="26" fillId="6" borderId="37" xfId="0" applyFont="1" applyFill="1" applyBorder="1" applyProtection="1">
      <protection locked="0"/>
    </xf>
    <xf numFmtId="0" fontId="26" fillId="6" borderId="1" xfId="0" applyFont="1" applyFill="1" applyBorder="1" applyAlignment="1" applyProtection="1">
      <alignment horizontal="left" wrapText="1"/>
      <protection locked="0"/>
    </xf>
    <xf numFmtId="0" fontId="26" fillId="6" borderId="1" xfId="0" applyFont="1" applyFill="1" applyBorder="1" applyAlignment="1" applyProtection="1">
      <alignment wrapText="1"/>
      <protection locked="0"/>
    </xf>
    <xf numFmtId="0" fontId="26" fillId="6" borderId="39" xfId="0" applyFont="1" applyFill="1" applyBorder="1" applyAlignment="1" applyProtection="1">
      <alignment wrapText="1"/>
      <protection locked="0"/>
    </xf>
    <xf numFmtId="0" fontId="26" fillId="6" borderId="49" xfId="0" applyFont="1" applyFill="1" applyBorder="1" applyAlignment="1" applyProtection="1">
      <alignment wrapText="1"/>
      <protection locked="0"/>
    </xf>
    <xf numFmtId="0" fontId="31" fillId="5" borderId="92" xfId="0" applyFont="1" applyFill="1" applyBorder="1" applyAlignment="1" applyProtection="1">
      <alignment horizontal="left" vertical="center" wrapText="1"/>
      <protection locked="0"/>
    </xf>
    <xf numFmtId="0" fontId="31" fillId="5" borderId="94" xfId="0" applyFont="1" applyFill="1" applyBorder="1" applyAlignment="1" applyProtection="1">
      <alignment horizontal="center" vertical="center" wrapText="1"/>
      <protection locked="0"/>
    </xf>
    <xf numFmtId="0" fontId="31" fillId="5" borderId="93" xfId="0" applyFont="1" applyFill="1" applyBorder="1" applyAlignment="1" applyProtection="1">
      <alignment horizontal="center" vertical="center" wrapText="1"/>
      <protection locked="0"/>
    </xf>
    <xf numFmtId="0" fontId="26" fillId="6" borderId="44" xfId="0" applyFont="1" applyFill="1" applyBorder="1" applyProtection="1">
      <protection locked="0"/>
    </xf>
    <xf numFmtId="0" fontId="26" fillId="6" borderId="43" xfId="0" applyFont="1" applyFill="1" applyBorder="1" applyAlignment="1" applyProtection="1">
      <alignment wrapText="1"/>
      <protection locked="0"/>
    </xf>
    <xf numFmtId="0" fontId="26" fillId="6" borderId="37" xfId="0" applyFont="1" applyFill="1" applyBorder="1" applyAlignment="1" applyProtection="1">
      <alignment wrapText="1"/>
      <protection locked="0"/>
    </xf>
    <xf numFmtId="0" fontId="26" fillId="6" borderId="44" xfId="0" applyFont="1" applyFill="1" applyBorder="1" applyAlignment="1" applyProtection="1">
      <alignment wrapText="1"/>
      <protection locked="0"/>
    </xf>
    <xf numFmtId="0" fontId="37" fillId="0" borderId="0" xfId="0" applyFont="1" applyProtection="1"/>
    <xf numFmtId="0" fontId="26" fillId="10" borderId="50" xfId="0" applyFont="1" applyFill="1" applyBorder="1" applyProtection="1"/>
    <xf numFmtId="1" fontId="0" fillId="0" borderId="0" xfId="0" applyNumberFormat="1" applyProtection="1"/>
    <xf numFmtId="14" fontId="0" fillId="0" borderId="0" xfId="0" applyNumberFormat="1" applyProtection="1"/>
    <xf numFmtId="0" fontId="37" fillId="9" borderId="50" xfId="0" applyFont="1" applyFill="1" applyBorder="1" applyAlignment="1" applyProtection="1">
      <alignment horizontal="center"/>
    </xf>
    <xf numFmtId="0" fontId="0" fillId="0" borderId="0" xfId="0" applyAlignment="1" applyProtection="1">
      <alignment horizontal="right"/>
    </xf>
    <xf numFmtId="0" fontId="0" fillId="8" borderId="61" xfId="0" applyFont="1" applyFill="1" applyBorder="1" applyProtection="1"/>
    <xf numFmtId="0" fontId="0" fillId="8" borderId="62" xfId="0" applyFont="1" applyFill="1" applyBorder="1" applyProtection="1"/>
    <xf numFmtId="0" fontId="0" fillId="8" borderId="50" xfId="0" applyFill="1" applyBorder="1" applyAlignment="1" applyProtection="1">
      <alignment horizontal="center" vertical="center"/>
    </xf>
    <xf numFmtId="0" fontId="26" fillId="10" borderId="61" xfId="0" applyFont="1" applyFill="1" applyBorder="1" applyProtection="1"/>
    <xf numFmtId="0" fontId="26" fillId="10" borderId="62" xfId="0" applyFont="1" applyFill="1" applyBorder="1" applyProtection="1"/>
    <xf numFmtId="0" fontId="26" fillId="10" borderId="62" xfId="0" applyFont="1" applyFill="1" applyBorder="1" applyAlignment="1" applyProtection="1">
      <alignment horizontal="center"/>
    </xf>
    <xf numFmtId="0" fontId="26" fillId="10" borderId="63" xfId="0" applyFont="1" applyFill="1" applyBorder="1" applyAlignment="1" applyProtection="1">
      <alignment horizontal="center"/>
    </xf>
    <xf numFmtId="0" fontId="26" fillId="10" borderId="71" xfId="0" applyFont="1" applyFill="1" applyBorder="1" applyProtection="1"/>
    <xf numFmtId="0" fontId="0" fillId="10" borderId="51" xfId="0" applyFill="1" applyBorder="1" applyProtection="1"/>
    <xf numFmtId="0" fontId="0" fillId="10" borderId="52" xfId="0" applyFill="1" applyBorder="1" applyProtection="1"/>
    <xf numFmtId="0" fontId="0" fillId="8" borderId="66" xfId="0" applyFill="1" applyBorder="1" applyProtection="1"/>
    <xf numFmtId="0" fontId="26" fillId="10" borderId="73" xfId="0" applyFont="1" applyFill="1" applyBorder="1" applyProtection="1"/>
    <xf numFmtId="0" fontId="26" fillId="10" borderId="81" xfId="0" applyFont="1" applyFill="1" applyBorder="1" applyProtection="1"/>
    <xf numFmtId="0" fontId="26" fillId="10" borderId="82" xfId="0" applyFont="1" applyFill="1" applyBorder="1" applyProtection="1"/>
    <xf numFmtId="0" fontId="26" fillId="10" borderId="83" xfId="0" applyFont="1" applyFill="1" applyBorder="1" applyProtection="1"/>
    <xf numFmtId="0" fontId="26" fillId="10" borderId="63" xfId="0" applyFont="1" applyFill="1" applyBorder="1" applyProtection="1"/>
    <xf numFmtId="0" fontId="26" fillId="10" borderId="84" xfId="0" applyFont="1" applyFill="1" applyBorder="1" applyProtection="1"/>
    <xf numFmtId="0" fontId="26" fillId="10" borderId="64" xfId="0" applyFont="1" applyFill="1" applyBorder="1" applyProtection="1"/>
    <xf numFmtId="0" fontId="26" fillId="10" borderId="9" xfId="0" applyFont="1" applyFill="1" applyBorder="1" applyProtection="1"/>
    <xf numFmtId="0" fontId="26" fillId="10" borderId="56" xfId="0" applyFont="1" applyFill="1" applyBorder="1" applyProtection="1"/>
    <xf numFmtId="0" fontId="26" fillId="10" borderId="57" xfId="0" applyFont="1" applyFill="1" applyBorder="1" applyProtection="1"/>
    <xf numFmtId="0" fontId="0" fillId="10" borderId="58" xfId="0" applyFill="1" applyBorder="1" applyProtection="1"/>
    <xf numFmtId="0" fontId="26" fillId="10" borderId="102" xfId="0" applyFont="1" applyFill="1" applyBorder="1" applyProtection="1"/>
    <xf numFmtId="0" fontId="26" fillId="10" borderId="58" xfId="0" applyFont="1" applyFill="1" applyBorder="1" applyProtection="1"/>
    <xf numFmtId="0" fontId="0" fillId="12" borderId="5" xfId="0" applyFill="1" applyBorder="1" applyProtection="1"/>
    <xf numFmtId="0" fontId="0" fillId="12" borderId="60" xfId="0" applyFill="1" applyBorder="1" applyProtection="1"/>
    <xf numFmtId="0" fontId="0" fillId="0" borderId="74" xfId="0" applyFill="1" applyBorder="1" applyProtection="1"/>
    <xf numFmtId="0" fontId="0" fillId="0" borderId="54" xfId="0" applyBorder="1" applyProtection="1"/>
    <xf numFmtId="0" fontId="0" fillId="0" borderId="2" xfId="0" applyBorder="1" applyProtection="1"/>
    <xf numFmtId="0" fontId="0" fillId="0" borderId="4" xfId="0" applyBorder="1" applyProtection="1"/>
    <xf numFmtId="0" fontId="0" fillId="0" borderId="67" xfId="0" applyBorder="1" applyProtection="1"/>
    <xf numFmtId="0" fontId="0" fillId="0" borderId="77" xfId="0" applyBorder="1" applyProtection="1"/>
    <xf numFmtId="10" fontId="0" fillId="12" borderId="0" xfId="0" applyNumberFormat="1" applyFill="1" applyProtection="1"/>
    <xf numFmtId="0" fontId="31" fillId="12" borderId="2" xfId="0" applyFont="1" applyFill="1" applyBorder="1" applyAlignment="1" applyProtection="1">
      <alignment horizontal="center" vertical="center"/>
    </xf>
    <xf numFmtId="1" fontId="0" fillId="12" borderId="51" xfId="0" applyNumberFormat="1" applyFill="1" applyBorder="1" applyAlignment="1" applyProtection="1">
      <alignment horizontal="right"/>
    </xf>
    <xf numFmtId="1" fontId="0" fillId="12" borderId="53" xfId="0" applyNumberFormat="1" applyFill="1" applyBorder="1" applyAlignment="1" applyProtection="1">
      <alignment horizontal="right"/>
    </xf>
    <xf numFmtId="0" fontId="0" fillId="0" borderId="51" xfId="0" applyFill="1" applyBorder="1" applyAlignment="1" applyProtection="1">
      <alignment horizontal="right"/>
    </xf>
    <xf numFmtId="0" fontId="0" fillId="0" borderId="52" xfId="0" applyFill="1" applyBorder="1" applyAlignment="1" applyProtection="1">
      <alignment horizontal="right"/>
    </xf>
    <xf numFmtId="1" fontId="0" fillId="0" borderId="4" xfId="0" applyNumberFormat="1" applyFill="1" applyBorder="1" applyAlignment="1" applyProtection="1">
      <alignment horizontal="right"/>
    </xf>
    <xf numFmtId="0" fontId="0" fillId="0" borderId="52" xfId="0" applyBorder="1" applyProtection="1"/>
    <xf numFmtId="0" fontId="0" fillId="0" borderId="53" xfId="0" applyBorder="1" applyProtection="1"/>
    <xf numFmtId="0" fontId="0" fillId="12" borderId="2" xfId="0" applyFill="1" applyBorder="1" applyProtection="1"/>
    <xf numFmtId="0" fontId="0" fillId="12" borderId="55" xfId="0" applyFill="1" applyBorder="1" applyProtection="1"/>
    <xf numFmtId="0" fontId="0" fillId="0" borderId="75" xfId="0" applyFill="1" applyBorder="1" applyProtection="1"/>
    <xf numFmtId="1" fontId="0" fillId="12" borderId="2" xfId="0" applyNumberFormat="1" applyFill="1" applyBorder="1" applyAlignment="1" applyProtection="1">
      <alignment horizontal="right"/>
    </xf>
    <xf numFmtId="0" fontId="0" fillId="0" borderId="54" xfId="0" applyFill="1" applyBorder="1" applyAlignment="1" applyProtection="1">
      <alignment horizontal="right"/>
    </xf>
    <xf numFmtId="0" fontId="0" fillId="0" borderId="2" xfId="0" applyFill="1" applyBorder="1" applyAlignment="1" applyProtection="1">
      <alignment horizontal="right"/>
    </xf>
    <xf numFmtId="1" fontId="0" fillId="0" borderId="4" xfId="0" applyNumberFormat="1" applyFill="1" applyBorder="1" applyProtection="1"/>
    <xf numFmtId="0" fontId="0" fillId="0" borderId="55" xfId="0" applyBorder="1" applyProtection="1"/>
    <xf numFmtId="1" fontId="0" fillId="12" borderId="55" xfId="0" applyNumberFormat="1" applyFill="1" applyBorder="1" applyAlignment="1" applyProtection="1">
      <alignment horizontal="right"/>
    </xf>
    <xf numFmtId="0" fontId="0" fillId="0" borderId="4" xfId="0" applyFill="1" applyBorder="1" applyAlignment="1" applyProtection="1">
      <alignment horizontal="right"/>
    </xf>
    <xf numFmtId="0" fontId="0" fillId="0" borderId="54" xfId="0" applyFill="1" applyBorder="1" applyProtection="1"/>
    <xf numFmtId="0" fontId="0" fillId="0" borderId="2" xfId="0" applyFill="1" applyBorder="1" applyProtection="1"/>
    <xf numFmtId="0" fontId="0" fillId="0" borderId="4" xfId="0" applyFill="1" applyBorder="1" applyProtection="1"/>
    <xf numFmtId="10" fontId="0" fillId="0" borderId="2" xfId="0" applyNumberFormat="1" applyFill="1" applyBorder="1" applyProtection="1"/>
    <xf numFmtId="0" fontId="0" fillId="0" borderId="64" xfId="0" applyBorder="1" applyProtection="1"/>
    <xf numFmtId="0" fontId="0" fillId="0" borderId="3" xfId="0" applyBorder="1" applyProtection="1"/>
    <xf numFmtId="0" fontId="0" fillId="12" borderId="3" xfId="0" applyFill="1" applyBorder="1" applyProtection="1"/>
    <xf numFmtId="0" fontId="0" fillId="12" borderId="65" xfId="0" applyFill="1" applyBorder="1" applyProtection="1"/>
    <xf numFmtId="0" fontId="0" fillId="0" borderId="76" xfId="0" applyFill="1" applyBorder="1" applyProtection="1"/>
    <xf numFmtId="0" fontId="0" fillId="12" borderId="57" xfId="0" applyFill="1" applyBorder="1" applyProtection="1"/>
    <xf numFmtId="0" fontId="0" fillId="12" borderId="58" xfId="0" applyFill="1" applyBorder="1" applyProtection="1"/>
    <xf numFmtId="0" fontId="0" fillId="0" borderId="56" xfId="0" applyFill="1" applyBorder="1" applyProtection="1"/>
    <xf numFmtId="10" fontId="0" fillId="0" borderId="57" xfId="0" applyNumberFormat="1" applyFill="1" applyBorder="1" applyProtection="1"/>
    <xf numFmtId="0" fontId="0" fillId="0" borderId="57" xfId="0" applyFill="1" applyBorder="1" applyProtection="1"/>
    <xf numFmtId="0" fontId="0" fillId="0" borderId="79" xfId="0" applyFill="1" applyBorder="1" applyProtection="1"/>
    <xf numFmtId="0" fontId="0" fillId="0" borderId="56" xfId="0" applyFill="1" applyBorder="1" applyAlignment="1" applyProtection="1">
      <alignment horizontal="right"/>
    </xf>
    <xf numFmtId="0" fontId="0" fillId="0" borderId="57" xfId="0" applyBorder="1" applyProtection="1"/>
    <xf numFmtId="0" fontId="0" fillId="0" borderId="58" xfId="0" applyBorder="1" applyProtection="1"/>
    <xf numFmtId="0" fontId="37" fillId="13" borderId="61" xfId="0" applyFont="1" applyFill="1" applyBorder="1" applyProtection="1"/>
    <xf numFmtId="0" fontId="37" fillId="13" borderId="62" xfId="0" applyFont="1" applyFill="1" applyBorder="1" applyProtection="1"/>
    <xf numFmtId="0" fontId="37" fillId="13" borderId="63" xfId="0" applyFont="1" applyFill="1" applyBorder="1" applyProtection="1"/>
    <xf numFmtId="0" fontId="37" fillId="13" borderId="71" xfId="0" applyFont="1" applyFill="1" applyBorder="1" applyProtection="1"/>
    <xf numFmtId="0" fontId="0" fillId="13" borderId="56" xfId="0" applyFill="1" applyBorder="1" applyProtection="1"/>
    <xf numFmtId="0" fontId="0" fillId="13" borderId="57" xfId="0" applyFill="1" applyBorder="1" applyProtection="1"/>
    <xf numFmtId="0" fontId="0" fillId="13" borderId="79" xfId="0" applyFill="1" applyBorder="1" applyProtection="1"/>
    <xf numFmtId="0" fontId="0" fillId="13" borderId="68" xfId="0" applyFill="1" applyBorder="1" applyProtection="1"/>
    <xf numFmtId="0" fontId="0" fillId="8" borderId="73" xfId="0" applyFill="1" applyBorder="1" applyProtection="1"/>
    <xf numFmtId="10" fontId="0" fillId="13" borderId="0" xfId="0" applyNumberFormat="1" applyFill="1" applyProtection="1"/>
    <xf numFmtId="10" fontId="0" fillId="0" borderId="0" xfId="0" applyNumberFormat="1" applyFill="1" applyProtection="1"/>
    <xf numFmtId="0" fontId="0" fillId="9" borderId="51" xfId="0" applyFill="1" applyBorder="1" applyProtection="1"/>
    <xf numFmtId="0" fontId="0" fillId="9" borderId="52" xfId="0" applyFill="1" applyBorder="1" applyProtection="1"/>
    <xf numFmtId="0" fontId="0" fillId="0" borderId="69" xfId="0" applyFill="1" applyBorder="1" applyProtection="1"/>
    <xf numFmtId="0" fontId="0" fillId="0" borderId="69" xfId="0" applyBorder="1" applyProtection="1"/>
    <xf numFmtId="0" fontId="31" fillId="12" borderId="7" xfId="0" applyFont="1" applyFill="1" applyBorder="1" applyAlignment="1" applyProtection="1">
      <alignment horizontal="center" vertical="center"/>
    </xf>
    <xf numFmtId="0" fontId="0" fillId="12" borderId="51" xfId="0" applyFill="1" applyBorder="1" applyProtection="1"/>
    <xf numFmtId="0" fontId="0" fillId="12" borderId="52" xfId="0" applyFill="1" applyBorder="1" applyProtection="1"/>
    <xf numFmtId="0" fontId="0" fillId="12" borderId="53" xfId="0" applyFill="1" applyBorder="1" applyProtection="1"/>
    <xf numFmtId="0" fontId="0" fillId="0" borderId="51" xfId="0" applyFill="1" applyBorder="1" applyProtection="1"/>
    <xf numFmtId="0" fontId="0" fillId="0" borderId="52" xfId="0" applyFill="1" applyBorder="1" applyProtection="1"/>
    <xf numFmtId="0" fontId="0" fillId="0" borderId="78" xfId="0" applyFill="1" applyBorder="1" applyProtection="1"/>
    <xf numFmtId="0" fontId="0" fillId="0" borderId="67" xfId="0" applyFill="1" applyBorder="1" applyProtection="1"/>
    <xf numFmtId="0" fontId="0" fillId="8" borderId="54" xfId="0" applyFill="1" applyBorder="1" applyProtection="1"/>
    <xf numFmtId="0" fontId="50" fillId="0" borderId="0" xfId="0" applyFont="1" applyProtection="1"/>
    <xf numFmtId="0" fontId="0" fillId="0" borderId="70" xfId="0" applyFill="1" applyBorder="1" applyProtection="1"/>
    <xf numFmtId="0" fontId="0" fillId="0" borderId="57" xfId="0" applyFill="1" applyBorder="1" applyAlignment="1" applyProtection="1">
      <alignment horizontal="right"/>
    </xf>
    <xf numFmtId="0" fontId="0" fillId="0" borderId="79" xfId="0" applyFill="1" applyBorder="1" applyAlignment="1" applyProtection="1">
      <alignment horizontal="right"/>
    </xf>
    <xf numFmtId="0" fontId="37" fillId="13" borderId="50" xfId="0" applyFont="1" applyFill="1" applyBorder="1" applyProtection="1"/>
    <xf numFmtId="0" fontId="0" fillId="8" borderId="50" xfId="0" applyFill="1" applyBorder="1" applyProtection="1"/>
    <xf numFmtId="0" fontId="0" fillId="0" borderId="66" xfId="0" applyFill="1" applyBorder="1" applyProtection="1"/>
    <xf numFmtId="0" fontId="0" fillId="0" borderId="78" xfId="0" applyFill="1" applyBorder="1" applyAlignment="1" applyProtection="1">
      <alignment horizontal="right"/>
    </xf>
    <xf numFmtId="0" fontId="0" fillId="0" borderId="56" xfId="0" applyBorder="1" applyProtection="1"/>
    <xf numFmtId="0" fontId="0" fillId="0" borderId="68" xfId="0" applyFill="1" applyBorder="1" applyProtection="1"/>
    <xf numFmtId="0" fontId="0" fillId="8" borderId="2" xfId="0" applyFill="1" applyBorder="1" applyProtection="1"/>
    <xf numFmtId="0" fontId="0" fillId="12" borderId="15" xfId="0" applyFill="1" applyBorder="1" applyProtection="1"/>
    <xf numFmtId="0" fontId="0" fillId="12" borderId="87" xfId="0" applyFill="1" applyBorder="1" applyProtection="1"/>
    <xf numFmtId="0" fontId="0" fillId="0" borderId="88" xfId="0" applyFill="1" applyBorder="1" applyProtection="1"/>
    <xf numFmtId="10" fontId="0" fillId="11" borderId="0" xfId="0" applyNumberFormat="1" applyFill="1" applyProtection="1"/>
    <xf numFmtId="0" fontId="0" fillId="0" borderId="0" xfId="0" applyFill="1" applyAlignment="1" applyProtection="1">
      <alignment horizontal="right"/>
    </xf>
    <xf numFmtId="0" fontId="0" fillId="0" borderId="0" xfId="0" applyFill="1" applyBorder="1" applyAlignment="1" applyProtection="1">
      <alignment horizontal="right"/>
    </xf>
    <xf numFmtId="0" fontId="0" fillId="9" borderId="66" xfId="0" applyFill="1" applyBorder="1" applyProtection="1"/>
    <xf numFmtId="0" fontId="0" fillId="9" borderId="80" xfId="0" applyFill="1" applyBorder="1" applyProtection="1"/>
    <xf numFmtId="0" fontId="0" fillId="0" borderId="7" xfId="0" applyBorder="1" applyProtection="1"/>
    <xf numFmtId="10" fontId="0" fillId="12" borderId="0" xfId="0" applyNumberFormat="1" applyFill="1" applyAlignment="1" applyProtection="1">
      <alignment horizontal="center"/>
    </xf>
    <xf numFmtId="0" fontId="0" fillId="0" borderId="68" xfId="0" applyBorder="1" applyProtection="1"/>
    <xf numFmtId="0" fontId="0" fillId="0" borderId="0" xfId="0" applyFill="1" applyBorder="1" applyProtection="1"/>
    <xf numFmtId="0" fontId="0" fillId="8" borderId="80" xfId="0" applyFill="1" applyBorder="1" applyProtection="1"/>
    <xf numFmtId="0" fontId="0" fillId="0" borderId="21" xfId="0" applyBorder="1" applyProtection="1"/>
    <xf numFmtId="9" fontId="0" fillId="0" borderId="22" xfId="0" applyNumberFormat="1" applyBorder="1" applyProtection="1"/>
    <xf numFmtId="0" fontId="0" fillId="0" borderId="22" xfId="0" applyBorder="1" applyProtection="1"/>
    <xf numFmtId="0" fontId="0" fillId="0" borderId="23" xfId="0" applyBorder="1" applyProtection="1"/>
    <xf numFmtId="0" fontId="0" fillId="0" borderId="16" xfId="0" applyBorder="1" applyProtection="1"/>
    <xf numFmtId="9" fontId="0" fillId="0" borderId="0" xfId="0" applyNumberFormat="1" applyBorder="1" applyProtection="1"/>
    <xf numFmtId="0" fontId="0" fillId="0" borderId="17" xfId="0" applyBorder="1" applyProtection="1"/>
    <xf numFmtId="0" fontId="26" fillId="10" borderId="0" xfId="0" applyFont="1" applyFill="1" applyProtection="1"/>
    <xf numFmtId="0" fontId="0" fillId="0" borderId="71" xfId="0" applyFont="1" applyBorder="1" applyProtection="1"/>
    <xf numFmtId="0" fontId="0" fillId="0" borderId="72" xfId="0" applyFont="1" applyBorder="1" applyProtection="1"/>
    <xf numFmtId="0" fontId="0" fillId="0" borderId="73" xfId="0" applyFont="1" applyBorder="1" applyProtection="1"/>
    <xf numFmtId="0" fontId="0" fillId="0" borderId="50" xfId="0" applyBorder="1" applyProtection="1"/>
    <xf numFmtId="0" fontId="0" fillId="0" borderId="18" xfId="0" applyBorder="1" applyProtection="1"/>
    <xf numFmtId="9" fontId="0" fillId="0" borderId="19" xfId="0" applyNumberFormat="1" applyBorder="1" applyProtection="1"/>
    <xf numFmtId="0" fontId="0" fillId="0" borderId="19" xfId="0" applyBorder="1" applyProtection="1"/>
    <xf numFmtId="0" fontId="0" fillId="0" borderId="20" xfId="0" applyBorder="1" applyProtection="1"/>
    <xf numFmtId="0" fontId="0" fillId="10" borderId="0" xfId="0" applyFill="1" applyProtection="1"/>
    <xf numFmtId="0" fontId="0" fillId="2" borderId="0" xfId="0" applyFill="1" applyProtection="1">
      <protection locked="0" hidden="1"/>
    </xf>
    <xf numFmtId="0" fontId="0" fillId="2" borderId="0" xfId="0" applyFill="1" applyAlignment="1" applyProtection="1">
      <alignment wrapText="1"/>
      <protection locked="0" hidden="1"/>
    </xf>
    <xf numFmtId="0" fontId="13" fillId="2" borderId="0" xfId="0" applyFont="1" applyFill="1" applyAlignment="1" applyProtection="1">
      <alignment horizontal="center" wrapText="1"/>
      <protection locked="0" hidden="1"/>
    </xf>
    <xf numFmtId="0" fontId="5" fillId="16" borderId="0" xfId="0" applyFont="1" applyFill="1" applyAlignment="1" applyProtection="1">
      <alignment vertical="top" wrapText="1"/>
      <protection hidden="1"/>
    </xf>
    <xf numFmtId="0" fontId="5" fillId="15" borderId="0" xfId="0" applyFont="1" applyFill="1" applyAlignment="1" applyProtection="1">
      <alignment vertical="top" wrapText="1"/>
      <protection hidden="1"/>
    </xf>
    <xf numFmtId="0" fontId="5" fillId="14" borderId="0" xfId="0" applyFont="1" applyFill="1" applyAlignment="1" applyProtection="1">
      <alignment vertical="top" wrapText="1"/>
      <protection hidden="1"/>
    </xf>
    <xf numFmtId="0" fontId="37" fillId="5" borderId="89" xfId="0" applyFont="1" applyFill="1" applyBorder="1" applyAlignment="1" applyProtection="1">
      <alignment horizontal="left" wrapText="1"/>
    </xf>
    <xf numFmtId="0" fontId="0" fillId="2" borderId="0" xfId="0" applyFill="1" applyBorder="1" applyAlignment="1" applyProtection="1">
      <alignment horizontal="left" wrapText="1"/>
    </xf>
    <xf numFmtId="0" fontId="33" fillId="6" borderId="0" xfId="0" applyFont="1" applyFill="1" applyBorder="1" applyAlignment="1" applyProtection="1">
      <alignment horizontal="left" wrapText="1"/>
    </xf>
    <xf numFmtId="0" fontId="21" fillId="3" borderId="1" xfId="0" applyFont="1" applyFill="1" applyBorder="1" applyAlignment="1" applyProtection="1">
      <alignment vertical="top"/>
    </xf>
    <xf numFmtId="0" fontId="21" fillId="3" borderId="1" xfId="0" applyFont="1" applyFill="1" applyBorder="1" applyAlignment="1" applyProtection="1">
      <alignment vertical="top" wrapText="1"/>
    </xf>
    <xf numFmtId="0" fontId="8" fillId="3" borderId="39" xfId="0" applyFont="1" applyFill="1" applyBorder="1" applyProtection="1"/>
    <xf numFmtId="0" fontId="34" fillId="2" borderId="113" xfId="0" applyFont="1" applyFill="1" applyBorder="1" applyAlignment="1" applyProtection="1">
      <alignment vertical="top" wrapText="1"/>
    </xf>
    <xf numFmtId="0" fontId="0" fillId="4" borderId="48" xfId="0" applyFill="1" applyBorder="1" applyAlignment="1" applyProtection="1"/>
    <xf numFmtId="0" fontId="34" fillId="2" borderId="114" xfId="0" applyFont="1" applyFill="1" applyBorder="1" applyAlignment="1" applyProtection="1">
      <alignment horizontal="left" wrapText="1"/>
    </xf>
    <xf numFmtId="0" fontId="26" fillId="4" borderId="0" xfId="0" applyFont="1" applyFill="1" applyAlignment="1" applyProtection="1">
      <alignment vertical="center"/>
    </xf>
    <xf numFmtId="0" fontId="0" fillId="4" borderId="0" xfId="0" applyFill="1" applyAlignment="1" applyProtection="1">
      <alignment wrapText="1"/>
    </xf>
    <xf numFmtId="0" fontId="26" fillId="4" borderId="0" xfId="0" applyFont="1" applyFill="1" applyAlignment="1" applyProtection="1">
      <alignment horizontal="right" wrapText="1"/>
      <protection hidden="1"/>
    </xf>
    <xf numFmtId="0" fontId="0" fillId="4" borderId="0" xfId="0" applyFill="1" applyAlignment="1" applyProtection="1">
      <alignment wrapText="1"/>
      <protection hidden="1"/>
    </xf>
    <xf numFmtId="0" fontId="31" fillId="4" borderId="0" xfId="0" applyFont="1" applyFill="1" applyProtection="1"/>
    <xf numFmtId="0" fontId="52" fillId="2" borderId="49" xfId="0" applyFont="1" applyFill="1" applyBorder="1" applyAlignment="1" applyProtection="1">
      <alignment horizontal="center" wrapText="1"/>
    </xf>
    <xf numFmtId="0" fontId="52" fillId="2" borderId="1" xfId="0" applyFont="1" applyFill="1" applyBorder="1" applyAlignment="1" applyProtection="1">
      <alignment horizontal="center" wrapText="1"/>
    </xf>
    <xf numFmtId="164" fontId="10" fillId="5" borderId="35" xfId="2" applyNumberFormat="1" applyFont="1" applyFill="1" applyBorder="1" applyAlignment="1" applyProtection="1">
      <alignment horizontal="left" vertical="center"/>
    </xf>
    <xf numFmtId="9" fontId="12" fillId="5" borderId="30" xfId="2" applyNumberFormat="1" applyFont="1" applyFill="1" applyBorder="1" applyAlignment="1" applyProtection="1">
      <alignment horizontal="center" vertical="center"/>
      <protection hidden="1"/>
    </xf>
    <xf numFmtId="9" fontId="12" fillId="5" borderId="29" xfId="2" applyNumberFormat="1" applyFont="1" applyFill="1" applyBorder="1" applyAlignment="1" applyProtection="1">
      <alignment horizontal="center" vertical="center"/>
      <protection hidden="1"/>
    </xf>
    <xf numFmtId="164" fontId="11" fillId="5" borderId="29" xfId="2" applyNumberFormat="1" applyFont="1" applyFill="1" applyBorder="1" applyAlignment="1" applyProtection="1">
      <alignment horizontal="center" vertical="center"/>
      <protection hidden="1"/>
    </xf>
    <xf numFmtId="0" fontId="17" fillId="3" borderId="106" xfId="0" applyFont="1" applyFill="1" applyBorder="1" applyProtection="1">
      <protection hidden="1"/>
    </xf>
    <xf numFmtId="0" fontId="6" fillId="3" borderId="108" xfId="0" applyFont="1" applyFill="1" applyBorder="1" applyAlignment="1" applyProtection="1">
      <alignment horizontal="right" vertical="center"/>
      <protection hidden="1"/>
    </xf>
    <xf numFmtId="0" fontId="0" fillId="4" borderId="0" xfId="0" applyFill="1" applyBorder="1" applyProtection="1"/>
    <xf numFmtId="0" fontId="46" fillId="2" borderId="0" xfId="0" applyFont="1" applyFill="1" applyBorder="1" applyAlignment="1" applyProtection="1">
      <alignment horizontal="left" vertical="center"/>
      <protection hidden="1"/>
    </xf>
    <xf numFmtId="0" fontId="10" fillId="4" borderId="0" xfId="0" applyFont="1" applyFill="1" applyAlignment="1" applyProtection="1">
      <alignment horizontal="left" vertical="top" wrapText="1"/>
    </xf>
    <xf numFmtId="0" fontId="26" fillId="6" borderId="0" xfId="0" applyFont="1" applyFill="1" applyBorder="1" applyAlignment="1" applyProtection="1">
      <alignment horizontal="right"/>
      <protection hidden="1"/>
    </xf>
    <xf numFmtId="0" fontId="26" fillId="4" borderId="0" xfId="0" applyFont="1" applyFill="1" applyBorder="1" applyProtection="1"/>
    <xf numFmtId="0" fontId="31" fillId="5" borderId="94" xfId="0" applyFont="1" applyFill="1" applyBorder="1" applyAlignment="1" applyProtection="1">
      <alignment horizontal="right" vertical="center"/>
      <protection hidden="1"/>
    </xf>
    <xf numFmtId="0" fontId="0" fillId="4" borderId="0" xfId="0" applyFill="1" applyBorder="1" applyAlignment="1" applyProtection="1">
      <alignment wrapText="1"/>
    </xf>
    <xf numFmtId="0" fontId="0" fillId="2" borderId="0" xfId="0" applyFill="1" applyBorder="1" applyAlignment="1" applyProtection="1">
      <alignment horizontal="right"/>
      <protection hidden="1"/>
    </xf>
    <xf numFmtId="0" fontId="0" fillId="2" borderId="0" xfId="0" applyFill="1" applyBorder="1" applyAlignment="1" applyProtection="1">
      <alignment wrapText="1"/>
      <protection hidden="1"/>
    </xf>
    <xf numFmtId="0" fontId="0" fillId="2" borderId="0" xfId="0" applyFill="1" applyBorder="1" applyAlignment="1" applyProtection="1">
      <alignment horizontal="left" wrapText="1"/>
      <protection hidden="1"/>
    </xf>
    <xf numFmtId="0" fontId="43" fillId="2" borderId="0" xfId="0" applyFont="1" applyFill="1" applyBorder="1" applyAlignment="1" applyProtection="1">
      <alignment horizontal="left" wrapText="1"/>
      <protection locked="0" hidden="1"/>
    </xf>
    <xf numFmtId="0" fontId="1" fillId="5" borderId="35" xfId="0" applyFont="1" applyFill="1" applyBorder="1" applyAlignment="1" applyProtection="1">
      <alignment vertical="center"/>
      <protection locked="0"/>
    </xf>
    <xf numFmtId="0" fontId="31" fillId="4" borderId="6" xfId="0" applyFont="1" applyFill="1" applyBorder="1" applyAlignment="1" applyProtection="1">
      <alignment horizontal="left" vertical="center"/>
      <protection locked="0"/>
    </xf>
    <xf numFmtId="0" fontId="31" fillId="5" borderId="94" xfId="0" applyFont="1" applyFill="1" applyBorder="1" applyAlignment="1" applyProtection="1">
      <alignment horizontal="center" vertical="center"/>
      <protection locked="0"/>
    </xf>
    <xf numFmtId="0" fontId="26" fillId="6" borderId="46" xfId="0" applyFont="1" applyFill="1" applyBorder="1" applyAlignment="1" applyProtection="1">
      <alignment horizontal="left"/>
      <protection locked="0"/>
    </xf>
    <xf numFmtId="0" fontId="31" fillId="4" borderId="34" xfId="0" applyFont="1" applyFill="1" applyBorder="1" applyAlignment="1" applyProtection="1">
      <alignment horizontal="left" vertical="center" wrapText="1"/>
      <protection locked="0"/>
    </xf>
    <xf numFmtId="0" fontId="31" fillId="5" borderId="97" xfId="0" applyFont="1" applyFill="1" applyBorder="1" applyAlignment="1" applyProtection="1">
      <alignment horizontal="left" vertical="center" wrapText="1"/>
      <protection locked="0"/>
    </xf>
    <xf numFmtId="0" fontId="26" fillId="6" borderId="46" xfId="0" applyFont="1" applyFill="1" applyBorder="1" applyAlignment="1" applyProtection="1">
      <alignment horizontal="left" wrapText="1"/>
      <protection locked="0"/>
    </xf>
    <xf numFmtId="0" fontId="26" fillId="6" borderId="47" xfId="0" applyFont="1" applyFill="1" applyBorder="1" applyAlignment="1" applyProtection="1">
      <alignment horizontal="left" wrapText="1"/>
      <protection locked="0"/>
    </xf>
    <xf numFmtId="0" fontId="31" fillId="4" borderId="116" xfId="0" applyFont="1" applyFill="1" applyBorder="1" applyAlignment="1" applyProtection="1">
      <alignment horizontal="left" vertical="center" wrapText="1"/>
      <protection locked="0"/>
    </xf>
    <xf numFmtId="0" fontId="10" fillId="4" borderId="117" xfId="0" applyFont="1" applyFill="1" applyBorder="1" applyAlignment="1" applyProtection="1">
      <alignment horizontal="left" vertical="top" wrapText="1"/>
    </xf>
    <xf numFmtId="0" fontId="34" fillId="2" borderId="1" xfId="0" applyFont="1" applyFill="1" applyBorder="1" applyAlignment="1" applyProtection="1">
      <alignment vertical="top" wrapText="1"/>
    </xf>
    <xf numFmtId="0" fontId="34" fillId="2" borderId="114" xfId="0" applyFont="1" applyFill="1" applyBorder="1" applyAlignment="1" applyProtection="1">
      <alignment horizontal="center" vertical="top" wrapText="1"/>
    </xf>
    <xf numFmtId="0" fontId="54" fillId="2" borderId="0" xfId="0" applyFont="1" applyFill="1" applyAlignment="1" applyProtection="1">
      <alignment horizontal="right"/>
    </xf>
    <xf numFmtId="0" fontId="56" fillId="4" borderId="1" xfId="0" applyFont="1" applyFill="1" applyBorder="1" applyAlignment="1" applyProtection="1">
      <alignment horizontal="left"/>
    </xf>
    <xf numFmtId="0" fontId="54" fillId="4" borderId="0" xfId="0" applyFont="1" applyFill="1" applyAlignment="1" applyProtection="1">
      <alignment horizontal="left"/>
      <protection hidden="1"/>
    </xf>
    <xf numFmtId="0" fontId="57" fillId="2" borderId="39" xfId="0" applyFont="1" applyFill="1" applyBorder="1" applyAlignment="1" applyProtection="1">
      <alignment horizontal="center" wrapText="1"/>
    </xf>
    <xf numFmtId="0" fontId="54" fillId="2" borderId="0" xfId="0" applyFont="1" applyFill="1" applyAlignment="1" applyProtection="1">
      <alignment horizontal="right"/>
      <protection hidden="1"/>
    </xf>
    <xf numFmtId="0" fontId="27" fillId="12" borderId="2" xfId="0" applyFont="1" applyFill="1" applyBorder="1" applyProtection="1"/>
    <xf numFmtId="0" fontId="27" fillId="12" borderId="5" xfId="0" applyFont="1" applyFill="1" applyBorder="1" applyProtection="1"/>
    <xf numFmtId="0" fontId="27" fillId="12" borderId="60" xfId="0" applyFont="1" applyFill="1" applyBorder="1" applyProtection="1"/>
    <xf numFmtId="0" fontId="27" fillId="0" borderId="54" xfId="0" applyFont="1" applyBorder="1" applyProtection="1"/>
    <xf numFmtId="0" fontId="27" fillId="12" borderId="55" xfId="0" applyFont="1" applyFill="1" applyBorder="1" applyProtection="1"/>
    <xf numFmtId="0" fontId="27" fillId="0" borderId="2" xfId="0" applyFont="1" applyFill="1" applyBorder="1" applyProtection="1"/>
    <xf numFmtId="1" fontId="0" fillId="12" borderId="52" xfId="0" applyNumberFormat="1" applyFill="1" applyBorder="1" applyAlignment="1" applyProtection="1">
      <alignment horizontal="right"/>
    </xf>
    <xf numFmtId="1" fontId="0" fillId="0" borderId="0" xfId="0" applyNumberFormat="1" applyAlignment="1" applyProtection="1">
      <alignment horizontal="right"/>
    </xf>
    <xf numFmtId="1" fontId="0" fillId="12" borderId="54" xfId="0" applyNumberFormat="1" applyFill="1" applyBorder="1" applyAlignment="1" applyProtection="1">
      <alignment horizontal="right"/>
    </xf>
    <xf numFmtId="1" fontId="0" fillId="12" borderId="54" xfId="0" applyNumberFormat="1" applyFill="1" applyBorder="1" applyProtection="1"/>
    <xf numFmtId="1" fontId="0" fillId="12" borderId="2" xfId="0" applyNumberFormat="1" applyFill="1" applyBorder="1" applyProtection="1"/>
    <xf numFmtId="1" fontId="0" fillId="12" borderId="55" xfId="0" applyNumberFormat="1" applyFill="1" applyBorder="1" applyProtection="1"/>
    <xf numFmtId="1" fontId="0" fillId="12" borderId="56" xfId="0" applyNumberFormat="1" applyFill="1" applyBorder="1" applyProtection="1"/>
    <xf numFmtId="1" fontId="0" fillId="12" borderId="57" xfId="0" applyNumberFormat="1" applyFill="1" applyBorder="1" applyProtection="1"/>
    <xf numFmtId="1" fontId="0" fillId="12" borderId="58" xfId="0" applyNumberFormat="1" applyFill="1" applyBorder="1" applyProtection="1"/>
    <xf numFmtId="1" fontId="0" fillId="12" borderId="51" xfId="0" applyNumberFormat="1" applyFill="1" applyBorder="1" applyProtection="1"/>
    <xf numFmtId="1" fontId="0" fillId="12" borderId="52" xfId="0" applyNumberFormat="1" applyFill="1" applyBorder="1" applyProtection="1"/>
    <xf numFmtId="1" fontId="0" fillId="12" borderId="53" xfId="0" applyNumberFormat="1" applyFill="1" applyBorder="1" applyProtection="1"/>
    <xf numFmtId="1" fontId="0" fillId="12" borderId="56" xfId="0" applyNumberFormat="1" applyFill="1" applyBorder="1" applyAlignment="1" applyProtection="1">
      <alignment horizontal="right"/>
    </xf>
    <xf numFmtId="1" fontId="0" fillId="12" borderId="57" xfId="0" applyNumberFormat="1" applyFill="1" applyBorder="1" applyAlignment="1" applyProtection="1">
      <alignment horizontal="right"/>
    </xf>
    <xf numFmtId="1" fontId="0" fillId="12" borderId="58" xfId="0" applyNumberFormat="1" applyFill="1" applyBorder="1" applyAlignment="1" applyProtection="1">
      <alignment horizontal="right"/>
    </xf>
    <xf numFmtId="1" fontId="27" fillId="12" borderId="54" xfId="0" applyNumberFormat="1" applyFont="1" applyFill="1" applyBorder="1" applyAlignment="1" applyProtection="1">
      <alignment horizontal="right"/>
    </xf>
    <xf numFmtId="1" fontId="27" fillId="12" borderId="2" xfId="0" applyNumberFormat="1" applyFont="1" applyFill="1" applyBorder="1" applyAlignment="1" applyProtection="1">
      <alignment horizontal="right"/>
    </xf>
    <xf numFmtId="1" fontId="27" fillId="12" borderId="55" xfId="0" applyNumberFormat="1" applyFont="1" applyFill="1" applyBorder="1" applyAlignment="1" applyProtection="1">
      <alignment horizontal="right"/>
    </xf>
    <xf numFmtId="1" fontId="27" fillId="12" borderId="54" xfId="0" applyNumberFormat="1" applyFont="1" applyFill="1" applyBorder="1" applyProtection="1"/>
    <xf numFmtId="1" fontId="27" fillId="12" borderId="2" xfId="0" applyNumberFormat="1" applyFont="1" applyFill="1" applyBorder="1" applyProtection="1"/>
    <xf numFmtId="1" fontId="27" fillId="12" borderId="55" xfId="0" applyNumberFormat="1" applyFont="1" applyFill="1" applyBorder="1" applyProtection="1"/>
    <xf numFmtId="1" fontId="27" fillId="12" borderId="52" xfId="0" applyNumberFormat="1" applyFont="1" applyFill="1" applyBorder="1" applyAlignment="1" applyProtection="1">
      <alignment horizontal="right"/>
    </xf>
    <xf numFmtId="1" fontId="27" fillId="12" borderId="53" xfId="0" applyNumberFormat="1" applyFont="1" applyFill="1" applyBorder="1" applyAlignment="1" applyProtection="1">
      <alignment horizontal="right"/>
    </xf>
    <xf numFmtId="1" fontId="27" fillId="12" borderId="52" xfId="0" applyNumberFormat="1" applyFont="1" applyFill="1" applyBorder="1" applyProtection="1"/>
    <xf numFmtId="1" fontId="27" fillId="12" borderId="53" xfId="0" applyNumberFormat="1" applyFont="1" applyFill="1" applyBorder="1" applyProtection="1"/>
    <xf numFmtId="0" fontId="26" fillId="10" borderId="82" xfId="0" applyFont="1" applyFill="1" applyBorder="1" applyAlignment="1" applyProtection="1">
      <alignment horizontal="center"/>
    </xf>
    <xf numFmtId="0" fontId="26" fillId="10" borderId="83" xfId="0" applyFont="1" applyFill="1" applyBorder="1" applyAlignment="1" applyProtection="1">
      <alignment horizontal="center"/>
    </xf>
    <xf numFmtId="0" fontId="0" fillId="12" borderId="118" xfId="0" applyFill="1" applyBorder="1" applyProtection="1"/>
    <xf numFmtId="0" fontId="0" fillId="12" borderId="85" xfId="0" applyFill="1" applyBorder="1" applyProtection="1"/>
    <xf numFmtId="0" fontId="0" fillId="12" borderId="119" xfId="0" applyFill="1" applyBorder="1" applyProtection="1"/>
    <xf numFmtId="0" fontId="0" fillId="12" borderId="54" xfId="0" applyFill="1" applyBorder="1" applyProtection="1"/>
    <xf numFmtId="0" fontId="0" fillId="0" borderId="118" xfId="0" applyFill="1" applyBorder="1" applyAlignment="1" applyProtection="1">
      <alignment horizontal="right"/>
    </xf>
    <xf numFmtId="0" fontId="0" fillId="0" borderId="85" xfId="0" applyFill="1" applyBorder="1" applyAlignment="1" applyProtection="1">
      <alignment horizontal="right"/>
    </xf>
    <xf numFmtId="0" fontId="0" fillId="0" borderId="120" xfId="0" applyFill="1" applyBorder="1" applyAlignment="1" applyProtection="1">
      <alignment horizontal="right"/>
    </xf>
    <xf numFmtId="0" fontId="0" fillId="0" borderId="85" xfId="0" applyBorder="1" applyProtection="1"/>
    <xf numFmtId="0" fontId="0" fillId="0" borderId="119" xfId="0" applyBorder="1" applyProtection="1"/>
    <xf numFmtId="0" fontId="0" fillId="0" borderId="51" xfId="0" applyBorder="1" applyProtection="1"/>
    <xf numFmtId="0" fontId="31" fillId="4" borderId="123" xfId="0" applyFont="1" applyFill="1" applyBorder="1" applyAlignment="1" applyProtection="1">
      <alignment horizontal="center" vertical="center"/>
      <protection locked="0"/>
    </xf>
    <xf numFmtId="0" fontId="31" fillId="4" borderId="48" xfId="0" applyFont="1" applyFill="1" applyBorder="1" applyAlignment="1" applyProtection="1">
      <alignment horizontal="center" vertical="center"/>
      <protection locked="0"/>
    </xf>
    <xf numFmtId="0" fontId="0" fillId="5" borderId="124" xfId="0" applyFont="1" applyFill="1" applyBorder="1" applyAlignment="1" applyProtection="1">
      <alignment horizontal="right"/>
    </xf>
    <xf numFmtId="0" fontId="0" fillId="5" borderId="125" xfId="0" applyFont="1" applyFill="1" applyBorder="1" applyAlignment="1" applyProtection="1">
      <alignment horizontal="right"/>
    </xf>
    <xf numFmtId="0" fontId="0" fillId="5" borderId="126" xfId="0" applyFont="1" applyFill="1" applyBorder="1" applyAlignment="1" applyProtection="1">
      <alignment horizontal="right"/>
    </xf>
    <xf numFmtId="0" fontId="26" fillId="6" borderId="6" xfId="0" applyFont="1" applyFill="1" applyBorder="1" applyProtection="1">
      <protection locked="0"/>
    </xf>
    <xf numFmtId="0" fontId="26" fillId="6" borderId="6" xfId="0" applyFont="1" applyFill="1" applyBorder="1" applyProtection="1"/>
    <xf numFmtId="0" fontId="31" fillId="4" borderId="129" xfId="0" applyFont="1" applyFill="1" applyBorder="1" applyAlignment="1" applyProtection="1">
      <alignment horizontal="center" vertical="center"/>
      <protection locked="0"/>
    </xf>
    <xf numFmtId="0" fontId="31" fillId="4" borderId="142" xfId="0" applyFont="1" applyFill="1" applyBorder="1" applyAlignment="1" applyProtection="1">
      <alignment horizontal="center" vertical="center"/>
      <protection locked="0"/>
    </xf>
    <xf numFmtId="0" fontId="26" fillId="10" borderId="2" xfId="0" applyFont="1" applyFill="1" applyBorder="1"/>
    <xf numFmtId="0" fontId="59" fillId="18" borderId="2" xfId="3" applyBorder="1"/>
    <xf numFmtId="0" fontId="59" fillId="18" borderId="0" xfId="3"/>
    <xf numFmtId="0" fontId="59" fillId="18" borderId="0" xfId="3" applyBorder="1" applyProtection="1">
      <protection locked="0"/>
    </xf>
    <xf numFmtId="9" fontId="59" fillId="18" borderId="0" xfId="3" applyNumberFormat="1" applyBorder="1" applyProtection="1">
      <protection locked="0"/>
    </xf>
    <xf numFmtId="0" fontId="59" fillId="18" borderId="35" xfId="3" applyBorder="1" applyAlignment="1" applyProtection="1">
      <alignment horizontal="center" vertical="center"/>
    </xf>
    <xf numFmtId="0" fontId="59" fillId="18" borderId="0" xfId="3" applyBorder="1"/>
    <xf numFmtId="0" fontId="9" fillId="19" borderId="0" xfId="0" applyFont="1" applyFill="1" applyProtection="1">
      <protection locked="0"/>
    </xf>
    <xf numFmtId="0" fontId="9" fillId="20" borderId="0" xfId="0" applyFont="1" applyFill="1" applyProtection="1">
      <protection locked="0"/>
    </xf>
    <xf numFmtId="0" fontId="0" fillId="20" borderId="0" xfId="0" applyFont="1" applyFill="1" applyBorder="1" applyProtection="1">
      <protection locked="0"/>
    </xf>
    <xf numFmtId="0" fontId="0" fillId="20" borderId="0" xfId="0" applyFill="1" applyBorder="1" applyProtection="1">
      <protection locked="0"/>
    </xf>
    <xf numFmtId="0" fontId="10" fillId="20" borderId="0" xfId="0" applyFont="1" applyFill="1" applyBorder="1" applyProtection="1">
      <protection locked="0"/>
    </xf>
    <xf numFmtId="0" fontId="10" fillId="20" borderId="0" xfId="0" applyFont="1" applyFill="1" applyProtection="1">
      <protection hidden="1"/>
    </xf>
    <xf numFmtId="0" fontId="10" fillId="20" borderId="0" xfId="0" applyFont="1" applyFill="1" applyAlignment="1" applyProtection="1">
      <protection hidden="1"/>
    </xf>
    <xf numFmtId="0" fontId="0" fillId="8" borderId="0" xfId="0" applyFill="1" applyAlignment="1">
      <alignment horizontal="center"/>
    </xf>
    <xf numFmtId="1" fontId="31" fillId="8" borderId="7" xfId="0" applyNumberFormat="1" applyFont="1" applyFill="1" applyBorder="1" applyAlignment="1" applyProtection="1">
      <alignment horizontal="center" vertical="center"/>
    </xf>
    <xf numFmtId="0" fontId="0" fillId="8" borderId="0" xfId="0" applyFill="1" applyProtection="1"/>
    <xf numFmtId="0" fontId="9" fillId="19" borderId="0" xfId="0" applyFont="1" applyFill="1" applyAlignment="1" applyProtection="1">
      <alignment horizontal="center"/>
      <protection locked="0"/>
    </xf>
    <xf numFmtId="0" fontId="0" fillId="19" borderId="0" xfId="0" applyFont="1" applyFill="1" applyProtection="1">
      <protection locked="0"/>
    </xf>
    <xf numFmtId="0" fontId="0" fillId="19" borderId="0" xfId="0" applyFont="1" applyFill="1" applyAlignment="1" applyProtection="1">
      <alignment horizontal="center"/>
      <protection locked="0"/>
    </xf>
    <xf numFmtId="0" fontId="10" fillId="20" borderId="2" xfId="0" applyFont="1" applyFill="1" applyBorder="1" applyProtection="1">
      <protection locked="0"/>
    </xf>
    <xf numFmtId="0" fontId="0" fillId="20" borderId="2" xfId="0" applyFont="1" applyFill="1" applyBorder="1" applyAlignment="1" applyProtection="1">
      <alignment horizontal="center"/>
      <protection locked="0"/>
    </xf>
    <xf numFmtId="0" fontId="0" fillId="20" borderId="0" xfId="0" applyFont="1" applyFill="1" applyProtection="1">
      <protection locked="0"/>
    </xf>
    <xf numFmtId="0" fontId="0" fillId="20" borderId="2" xfId="0" applyFont="1" applyFill="1" applyBorder="1" applyAlignment="1" applyProtection="1">
      <alignment vertical="center"/>
      <protection locked="0"/>
    </xf>
    <xf numFmtId="0" fontId="0" fillId="20" borderId="2" xfId="0" applyFont="1" applyFill="1" applyBorder="1" applyProtection="1">
      <protection locked="0"/>
    </xf>
    <xf numFmtId="0" fontId="0" fillId="20" borderId="2" xfId="0" applyFill="1" applyBorder="1" applyProtection="1">
      <protection locked="0"/>
    </xf>
    <xf numFmtId="0" fontId="0" fillId="20" borderId="2" xfId="0" applyFont="1" applyFill="1" applyBorder="1" applyAlignment="1" applyProtection="1">
      <alignment horizontal="center" wrapText="1"/>
      <protection locked="0"/>
    </xf>
    <xf numFmtId="0" fontId="0" fillId="20" borderId="0" xfId="0" applyFont="1" applyFill="1" applyAlignment="1" applyProtection="1">
      <alignment horizontal="center"/>
      <protection locked="0"/>
    </xf>
    <xf numFmtId="9" fontId="1" fillId="20" borderId="2" xfId="4" applyFont="1" applyFill="1" applyBorder="1" applyAlignment="1" applyProtection="1">
      <alignment horizontal="center"/>
      <protection locked="0"/>
    </xf>
    <xf numFmtId="0" fontId="0" fillId="20" borderId="2" xfId="0" applyFill="1" applyBorder="1" applyAlignment="1" applyProtection="1">
      <alignment vertical="center"/>
      <protection locked="0"/>
    </xf>
    <xf numFmtId="0" fontId="0" fillId="20" borderId="2" xfId="0" applyFont="1" applyFill="1" applyBorder="1" applyAlignment="1" applyProtection="1">
      <alignment horizontal="left"/>
      <protection locked="0"/>
    </xf>
    <xf numFmtId="0" fontId="0" fillId="20" borderId="2" xfId="0" applyFont="1" applyFill="1" applyBorder="1" applyAlignment="1" applyProtection="1">
      <alignment horizontal="right"/>
      <protection locked="0"/>
    </xf>
    <xf numFmtId="0" fontId="0" fillId="20" borderId="2" xfId="0" applyFont="1" applyFill="1" applyBorder="1" applyAlignment="1" applyProtection="1">
      <alignment horizontal="center" vertical="top"/>
      <protection locked="0"/>
    </xf>
    <xf numFmtId="0" fontId="0" fillId="20" borderId="2" xfId="0" applyFont="1" applyFill="1" applyBorder="1" applyAlignment="1" applyProtection="1">
      <alignment horizontal="center" vertical="center"/>
      <protection locked="0"/>
    </xf>
    <xf numFmtId="0" fontId="0" fillId="20" borderId="3" xfId="0" applyFont="1" applyFill="1" applyBorder="1" applyProtection="1">
      <protection locked="0"/>
    </xf>
    <xf numFmtId="0" fontId="0" fillId="20" borderId="2" xfId="0" applyFill="1" applyBorder="1" applyAlignment="1" applyProtection="1">
      <alignment horizontal="center" vertical="center"/>
      <protection locked="0"/>
    </xf>
    <xf numFmtId="0" fontId="0" fillId="20" borderId="2" xfId="0" applyFill="1" applyBorder="1" applyAlignment="1" applyProtection="1">
      <alignment horizontal="right"/>
      <protection locked="0"/>
    </xf>
    <xf numFmtId="0" fontId="0" fillId="20" borderId="2" xfId="0" applyFont="1" applyFill="1" applyBorder="1" applyAlignment="1" applyProtection="1">
      <alignment horizontal="center" vertical="center"/>
    </xf>
    <xf numFmtId="0" fontId="0" fillId="20" borderId="3" xfId="0" applyFill="1" applyBorder="1" applyProtection="1">
      <protection locked="0"/>
    </xf>
    <xf numFmtId="0" fontId="0" fillId="20" borderId="0" xfId="0" applyFill="1" applyAlignment="1" applyProtection="1">
      <alignment horizontal="right" vertical="center"/>
      <protection locked="0"/>
    </xf>
    <xf numFmtId="0" fontId="0" fillId="20" borderId="0" xfId="0" applyFill="1" applyAlignment="1" applyProtection="1">
      <alignment horizontal="right"/>
      <protection locked="0"/>
    </xf>
    <xf numFmtId="0" fontId="0" fillId="20" borderId="0" xfId="0" applyFont="1" applyFill="1" applyBorder="1" applyAlignment="1" applyProtection="1">
      <alignment horizontal="center"/>
      <protection locked="0"/>
    </xf>
    <xf numFmtId="10" fontId="10" fillId="20" borderId="2" xfId="4" applyNumberFormat="1" applyFont="1" applyFill="1" applyBorder="1" applyAlignment="1" applyProtection="1">
      <alignment horizontal="center"/>
      <protection locked="0"/>
    </xf>
    <xf numFmtId="0" fontId="0" fillId="20" borderId="2" xfId="0" applyFont="1" applyFill="1" applyBorder="1" applyProtection="1"/>
    <xf numFmtId="0" fontId="1" fillId="20" borderId="2" xfId="0" applyFont="1" applyFill="1" applyBorder="1" applyAlignment="1" applyProtection="1">
      <alignment horizontal="right" vertical="center"/>
      <protection locked="0"/>
    </xf>
    <xf numFmtId="0" fontId="0" fillId="8" borderId="59" xfId="0" applyFill="1" applyBorder="1" applyProtection="1"/>
    <xf numFmtId="0" fontId="0" fillId="8" borderId="5" xfId="0" applyFill="1" applyBorder="1" applyProtection="1"/>
    <xf numFmtId="0" fontId="27" fillId="8" borderId="2" xfId="0" applyFont="1" applyFill="1" applyBorder="1" applyProtection="1"/>
    <xf numFmtId="0" fontId="31" fillId="8" borderId="7" xfId="0" applyFont="1" applyFill="1" applyBorder="1" applyAlignment="1" applyProtection="1">
      <alignment horizontal="center" vertical="center"/>
    </xf>
    <xf numFmtId="0" fontId="0" fillId="0" borderId="0" xfId="0" applyFont="1"/>
    <xf numFmtId="0" fontId="61" fillId="2" borderId="127" xfId="0" applyFont="1" applyFill="1" applyBorder="1" applyAlignment="1" applyProtection="1">
      <alignment wrapText="1"/>
      <protection hidden="1"/>
    </xf>
    <xf numFmtId="0" fontId="61" fillId="2" borderId="127" xfId="0" applyFont="1" applyFill="1" applyBorder="1" applyAlignment="1" applyProtection="1">
      <alignment horizontal="center" wrapText="1"/>
      <protection hidden="1"/>
    </xf>
    <xf numFmtId="0" fontId="0" fillId="12" borderId="50" xfId="0" applyFill="1" applyBorder="1"/>
    <xf numFmtId="0" fontId="0" fillId="8" borderId="56" xfId="0" applyFill="1" applyBorder="1" applyProtection="1"/>
    <xf numFmtId="0" fontId="0" fillId="8" borderId="57" xfId="0" applyFill="1" applyBorder="1" applyProtection="1"/>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0" fillId="13" borderId="64" xfId="0" applyFill="1" applyBorder="1"/>
    <xf numFmtId="0" fontId="0" fillId="13" borderId="3" xfId="0" applyFill="1" applyBorder="1"/>
    <xf numFmtId="0" fontId="0" fillId="13" borderId="65" xfId="0" applyFill="1" applyBorder="1"/>
    <xf numFmtId="0" fontId="0" fillId="0" borderId="54" xfId="0" applyFill="1" applyBorder="1"/>
    <xf numFmtId="0" fontId="26" fillId="10" borderId="59" xfId="0" applyFont="1" applyFill="1" applyBorder="1"/>
    <xf numFmtId="0" fontId="26" fillId="10" borderId="5" xfId="0" applyFont="1" applyFill="1" applyBorder="1"/>
    <xf numFmtId="0" fontId="26" fillId="10" borderId="60" xfId="0" applyFont="1" applyFill="1" applyBorder="1"/>
    <xf numFmtId="0" fontId="0" fillId="12" borderId="61" xfId="0" applyFill="1" applyBorder="1"/>
    <xf numFmtId="0" fontId="0" fillId="12" borderId="62" xfId="0" applyFill="1" applyBorder="1"/>
    <xf numFmtId="0" fontId="0" fillId="12" borderId="63" xfId="0" applyFill="1" applyBorder="1"/>
    <xf numFmtId="0" fontId="0" fillId="9" borderId="0" xfId="0" applyFill="1"/>
    <xf numFmtId="0" fontId="26" fillId="10" borderId="0" xfId="0" applyFont="1" applyFill="1" applyBorder="1"/>
    <xf numFmtId="1" fontId="59" fillId="18" borderId="0" xfId="3" applyNumberFormat="1" applyBorder="1" applyProtection="1">
      <protection locked="0"/>
    </xf>
    <xf numFmtId="9" fontId="59" fillId="18" borderId="0" xfId="3" applyNumberFormat="1" applyBorder="1" applyAlignment="1" applyProtection="1">
      <alignment horizontal="right"/>
      <protection locked="0"/>
    </xf>
    <xf numFmtId="0" fontId="0" fillId="9" borderId="21" xfId="0" applyFill="1" applyBorder="1"/>
    <xf numFmtId="0" fontId="0" fillId="9" borderId="22" xfId="0" applyFill="1" applyBorder="1"/>
    <xf numFmtId="0" fontId="0" fillId="9" borderId="23" xfId="0" applyFill="1" applyBorder="1"/>
    <xf numFmtId="0" fontId="0" fillId="0" borderId="16" xfId="0" applyBorder="1"/>
    <xf numFmtId="0" fontId="0" fillId="0" borderId="17" xfId="0" applyBorder="1"/>
    <xf numFmtId="2" fontId="0" fillId="0" borderId="0" xfId="0" applyNumberFormat="1" applyBorder="1"/>
    <xf numFmtId="0" fontId="0" fillId="0" borderId="19" xfId="0" applyBorder="1"/>
    <xf numFmtId="0" fontId="0" fillId="0" borderId="20" xfId="0" applyBorder="1"/>
    <xf numFmtId="1" fontId="31" fillId="8" borderId="2" xfId="0" applyNumberFormat="1" applyFont="1" applyFill="1" applyBorder="1" applyAlignment="1" applyProtection="1">
      <alignment horizontal="center" vertical="center"/>
    </xf>
    <xf numFmtId="0" fontId="31" fillId="8" borderId="2" xfId="0" applyFont="1" applyFill="1" applyBorder="1" applyAlignment="1" applyProtection="1">
      <alignment horizontal="center" vertical="center"/>
    </xf>
    <xf numFmtId="0" fontId="27" fillId="8" borderId="5" xfId="0" applyFont="1" applyFill="1" applyBorder="1" applyProtection="1"/>
    <xf numFmtId="0" fontId="0" fillId="8" borderId="52" xfId="0" applyFill="1" applyBorder="1" applyProtection="1"/>
    <xf numFmtId="0" fontId="0" fillId="8" borderId="64" xfId="0" applyFill="1" applyBorder="1" applyProtection="1"/>
    <xf numFmtId="0" fontId="0" fillId="8" borderId="3" xfId="0" applyFill="1" applyBorder="1" applyProtection="1"/>
    <xf numFmtId="0" fontId="0" fillId="8" borderId="86" xfId="0" applyFill="1" applyBorder="1" applyProtection="1"/>
    <xf numFmtId="0" fontId="0" fillId="8" borderId="15" xfId="0" applyFill="1" applyBorder="1" applyProtection="1"/>
    <xf numFmtId="0" fontId="0" fillId="0" borderId="111" xfId="0" applyFill="1" applyBorder="1" applyProtection="1"/>
    <xf numFmtId="0" fontId="0" fillId="8" borderId="15" xfId="0" applyFill="1" applyBorder="1"/>
    <xf numFmtId="1" fontId="31" fillId="5" borderId="0" xfId="0" applyNumberFormat="1" applyFont="1" applyFill="1" applyBorder="1" applyAlignment="1" applyProtection="1">
      <alignment horizontal="center" vertical="center"/>
      <protection hidden="1"/>
    </xf>
    <xf numFmtId="0" fontId="0" fillId="0" borderId="2" xfId="0" applyFont="1" applyBorder="1"/>
    <xf numFmtId="0" fontId="1" fillId="2" borderId="0" xfId="0" applyFont="1" applyFill="1" applyProtection="1">
      <protection hidden="1"/>
    </xf>
    <xf numFmtId="0" fontId="15" fillId="2" borderId="0" xfId="0" applyFont="1" applyFill="1" applyAlignment="1" applyProtection="1">
      <alignment vertical="center" wrapText="1"/>
      <protection hidden="1"/>
    </xf>
    <xf numFmtId="0" fontId="26" fillId="4" borderId="0" xfId="0" applyFont="1" applyFill="1" applyBorder="1"/>
    <xf numFmtId="0" fontId="26" fillId="4" borderId="0" xfId="0" applyFont="1" applyFill="1"/>
    <xf numFmtId="164" fontId="59" fillId="18" borderId="0" xfId="3" applyNumberFormat="1" applyBorder="1" applyProtection="1">
      <protection locked="0"/>
    </xf>
    <xf numFmtId="0" fontId="29" fillId="2" borderId="5" xfId="0" applyFont="1" applyFill="1" applyBorder="1" applyAlignment="1" applyProtection="1">
      <alignment horizontal="center" wrapText="1"/>
      <protection hidden="1"/>
    </xf>
    <xf numFmtId="0" fontId="0" fillId="2" borderId="0" xfId="0" applyFill="1" applyAlignment="1" applyProtection="1">
      <alignment horizontal="right"/>
      <protection hidden="1"/>
    </xf>
    <xf numFmtId="0" fontId="0" fillId="4" borderId="0" xfId="0" applyFill="1" applyBorder="1"/>
    <xf numFmtId="9" fontId="4" fillId="5" borderId="151" xfId="2" applyNumberFormat="1" applyFont="1" applyFill="1" applyBorder="1" applyAlignment="1" applyProtection="1">
      <alignment horizontal="center" vertical="center"/>
      <protection hidden="1"/>
    </xf>
    <xf numFmtId="9" fontId="4" fillId="5" borderId="152" xfId="2" applyNumberFormat="1" applyFont="1" applyFill="1" applyBorder="1" applyAlignment="1" applyProtection="1">
      <alignment horizontal="center" vertical="center"/>
      <protection hidden="1"/>
    </xf>
    <xf numFmtId="164" fontId="4" fillId="5" borderId="152" xfId="2" applyNumberFormat="1" applyFont="1" applyFill="1" applyBorder="1" applyAlignment="1" applyProtection="1">
      <alignment horizontal="center" vertical="center"/>
      <protection hidden="1"/>
    </xf>
    <xf numFmtId="164" fontId="12" fillId="5" borderId="152" xfId="2" applyNumberFormat="1" applyFont="1" applyFill="1" applyBorder="1" applyAlignment="1" applyProtection="1">
      <alignment horizontal="center" vertical="center"/>
      <protection hidden="1"/>
    </xf>
    <xf numFmtId="9" fontId="12" fillId="5" borderId="112" xfId="2" applyNumberFormat="1" applyFont="1" applyFill="1" applyBorder="1" applyAlignment="1" applyProtection="1">
      <alignment horizontal="center" vertical="center"/>
      <protection hidden="1"/>
    </xf>
    <xf numFmtId="9" fontId="12" fillId="5" borderId="107" xfId="2" applyNumberFormat="1" applyFont="1" applyFill="1" applyBorder="1" applyAlignment="1" applyProtection="1">
      <alignment horizontal="center" vertical="center"/>
      <protection hidden="1"/>
    </xf>
    <xf numFmtId="164" fontId="12" fillId="5" borderId="107" xfId="2" applyNumberFormat="1" applyFont="1" applyFill="1" applyBorder="1" applyAlignment="1" applyProtection="1">
      <alignment horizontal="center" vertical="center"/>
      <protection hidden="1"/>
    </xf>
    <xf numFmtId="0" fontId="12" fillId="5" borderId="151" xfId="0" applyFont="1" applyFill="1" applyBorder="1" applyAlignment="1" applyProtection="1">
      <alignment horizontal="center" vertical="center"/>
      <protection hidden="1"/>
    </xf>
    <xf numFmtId="0" fontId="12" fillId="5" borderId="152" xfId="0" applyFont="1" applyFill="1" applyBorder="1" applyAlignment="1" applyProtection="1">
      <alignment horizontal="center" vertical="center"/>
      <protection hidden="1"/>
    </xf>
    <xf numFmtId="0" fontId="11" fillId="5" borderId="152" xfId="0" applyFont="1" applyFill="1" applyBorder="1" applyAlignment="1" applyProtection="1">
      <alignment horizontal="center" vertical="center"/>
      <protection hidden="1"/>
    </xf>
    <xf numFmtId="0" fontId="34" fillId="2" borderId="1" xfId="0" applyFont="1" applyFill="1" applyBorder="1" applyAlignment="1" applyProtection="1">
      <alignment horizontal="center" wrapText="1"/>
      <protection hidden="1"/>
    </xf>
    <xf numFmtId="0" fontId="0" fillId="2" borderId="1" xfId="0" applyFill="1" applyBorder="1" applyAlignment="1" applyProtection="1">
      <alignment wrapText="1"/>
      <protection hidden="1"/>
    </xf>
    <xf numFmtId="0" fontId="34" fillId="2" borderId="0" xfId="0" applyFont="1" applyFill="1" applyBorder="1" applyAlignment="1" applyProtection="1">
      <alignment horizontal="center" vertical="center" wrapText="1"/>
    </xf>
    <xf numFmtId="0" fontId="0" fillId="5" borderId="25" xfId="0" applyFont="1" applyFill="1" applyBorder="1" applyAlignment="1" applyProtection="1">
      <alignment horizontal="left"/>
    </xf>
    <xf numFmtId="0" fontId="33" fillId="6" borderId="4" xfId="0" applyFont="1" applyFill="1" applyBorder="1" applyProtection="1"/>
    <xf numFmtId="0" fontId="26" fillId="6" borderId="42" xfId="0" applyFont="1" applyFill="1" applyBorder="1" applyAlignment="1" applyProtection="1">
      <alignment horizontal="left"/>
      <protection locked="0"/>
    </xf>
    <xf numFmtId="0" fontId="0" fillId="5" borderId="153" xfId="0" applyFont="1" applyFill="1" applyBorder="1" applyAlignment="1" applyProtection="1">
      <alignment horizontal="left"/>
    </xf>
    <xf numFmtId="0" fontId="0" fillId="5" borderId="105" xfId="0" applyFont="1" applyFill="1" applyBorder="1" applyAlignment="1" applyProtection="1">
      <alignment horizontal="left"/>
    </xf>
    <xf numFmtId="0" fontId="0" fillId="5" borderId="26" xfId="0" applyFont="1" applyFill="1" applyBorder="1" applyAlignment="1" applyProtection="1">
      <alignment horizontal="left"/>
    </xf>
    <xf numFmtId="0" fontId="0" fillId="5" borderId="27" xfId="0" applyFont="1" applyFill="1" applyBorder="1" applyAlignment="1" applyProtection="1">
      <alignment horizontal="left"/>
    </xf>
    <xf numFmtId="0" fontId="0" fillId="5" borderId="28" xfId="0" applyFont="1" applyFill="1" applyBorder="1" applyAlignment="1" applyProtection="1">
      <alignment horizontal="left"/>
    </xf>
    <xf numFmtId="0" fontId="33" fillId="6" borderId="6" xfId="0" applyFont="1" applyFill="1" applyBorder="1" applyProtection="1"/>
    <xf numFmtId="0" fontId="0" fillId="5" borderId="31" xfId="0" applyFont="1" applyFill="1" applyBorder="1" applyAlignment="1" applyProtection="1">
      <alignment horizontal="left"/>
    </xf>
    <xf numFmtId="0" fontId="0" fillId="5" borderId="43" xfId="0" applyFont="1" applyFill="1" applyBorder="1" applyAlignment="1" applyProtection="1">
      <alignment horizontal="left"/>
    </xf>
    <xf numFmtId="0" fontId="34" fillId="2" borderId="154" xfId="0" applyFont="1" applyFill="1" applyBorder="1" applyAlignment="1" applyProtection="1">
      <alignment horizontal="center" vertical="center" wrapText="1"/>
    </xf>
    <xf numFmtId="0" fontId="44" fillId="2" borderId="49" xfId="0" applyFont="1" applyFill="1" applyBorder="1" applyAlignment="1" applyProtection="1">
      <alignment horizontal="left" wrapText="1"/>
    </xf>
    <xf numFmtId="0" fontId="0" fillId="4" borderId="0" xfId="0" applyFill="1" applyAlignment="1" applyProtection="1">
      <alignment horizontal="right"/>
    </xf>
    <xf numFmtId="0" fontId="12" fillId="4" borderId="0" xfId="0" applyFont="1" applyFill="1" applyBorder="1" applyProtection="1">
      <protection hidden="1"/>
    </xf>
    <xf numFmtId="0" fontId="0" fillId="5" borderId="7" xfId="0" applyFill="1" applyBorder="1" applyProtection="1">
      <protection hidden="1"/>
    </xf>
    <xf numFmtId="0" fontId="0" fillId="5" borderId="7" xfId="0" applyFont="1" applyFill="1" applyBorder="1" applyProtection="1">
      <protection hidden="1"/>
    </xf>
    <xf numFmtId="0" fontId="6" fillId="3" borderId="100" xfId="0" applyFont="1" applyFill="1" applyBorder="1" applyProtection="1"/>
    <xf numFmtId="0" fontId="6" fillId="3" borderId="157" xfId="0" applyFont="1" applyFill="1" applyBorder="1" applyProtection="1"/>
    <xf numFmtId="0" fontId="6" fillId="3" borderId="157" xfId="0" applyFont="1" applyFill="1" applyBorder="1" applyAlignment="1" applyProtection="1">
      <alignment wrapText="1"/>
    </xf>
    <xf numFmtId="0" fontId="6" fillId="3" borderId="157" xfId="0" applyFont="1" applyFill="1" applyBorder="1" applyAlignment="1" applyProtection="1"/>
    <xf numFmtId="0" fontId="6" fillId="3" borderId="158" xfId="0" applyFont="1" applyFill="1" applyBorder="1" applyAlignment="1" applyProtection="1">
      <alignment wrapText="1"/>
    </xf>
    <xf numFmtId="0" fontId="0" fillId="0" borderId="70" xfId="0" applyBorder="1"/>
    <xf numFmtId="0" fontId="0" fillId="0" borderId="2" xfId="0" applyBorder="1" applyAlignment="1" applyProtection="1">
      <alignment wrapText="1"/>
      <protection locked="0"/>
    </xf>
    <xf numFmtId="0" fontId="0" fillId="0" borderId="2" xfId="0" applyBorder="1" applyAlignment="1" applyProtection="1">
      <alignment horizontal="left" wrapText="1"/>
      <protection locked="0"/>
    </xf>
    <xf numFmtId="1" fontId="0" fillId="0" borderId="0" xfId="0" applyNumberFormat="1" applyBorder="1"/>
    <xf numFmtId="0" fontId="0" fillId="0" borderId="64" xfId="0" applyBorder="1"/>
    <xf numFmtId="0" fontId="0" fillId="0" borderId="65" xfId="0" applyBorder="1"/>
    <xf numFmtId="0" fontId="0" fillId="0" borderId="2" xfId="0" applyFill="1" applyBorder="1"/>
    <xf numFmtId="0" fontId="0" fillId="0" borderId="52" xfId="0" applyFill="1" applyBorder="1"/>
    <xf numFmtId="0" fontId="0" fillId="0" borderId="53" xfId="0" applyFill="1" applyBorder="1"/>
    <xf numFmtId="0" fontId="0" fillId="0" borderId="55" xfId="0" applyFill="1" applyBorder="1"/>
    <xf numFmtId="0" fontId="0" fillId="0" borderId="110" xfId="0" applyBorder="1"/>
    <xf numFmtId="0" fontId="0" fillId="0" borderId="111" xfId="0" applyBorder="1"/>
    <xf numFmtId="0" fontId="0" fillId="0" borderId="10" xfId="0" applyBorder="1"/>
    <xf numFmtId="0" fontId="0" fillId="0" borderId="59" xfId="0" applyBorder="1"/>
    <xf numFmtId="0" fontId="0" fillId="0" borderId="66" xfId="0" applyBorder="1"/>
    <xf numFmtId="0" fontId="0" fillId="0" borderId="68" xfId="0" applyBorder="1"/>
    <xf numFmtId="0" fontId="0" fillId="0" borderId="67" xfId="0" applyBorder="1"/>
    <xf numFmtId="0" fontId="50" fillId="0" borderId="0" xfId="0" applyFont="1" applyFill="1" applyBorder="1"/>
    <xf numFmtId="0" fontId="0" fillId="0" borderId="56" xfId="0" applyFill="1" applyBorder="1"/>
    <xf numFmtId="0" fontId="37" fillId="0" borderId="146" xfId="0" applyFont="1" applyBorder="1"/>
    <xf numFmtId="0" fontId="0" fillId="0" borderId="147" xfId="0" applyBorder="1"/>
    <xf numFmtId="0" fontId="0" fillId="0" borderId="60" xfId="0" applyBorder="1"/>
    <xf numFmtId="0" fontId="0" fillId="0" borderId="61" xfId="0" applyBorder="1"/>
    <xf numFmtId="0" fontId="0" fillId="0" borderId="62" xfId="0" applyBorder="1"/>
    <xf numFmtId="0" fontId="0" fillId="0" borderId="63" xfId="0" applyBorder="1"/>
    <xf numFmtId="0" fontId="0" fillId="0" borderId="88" xfId="0" applyBorder="1"/>
    <xf numFmtId="0" fontId="0" fillId="0" borderId="66" xfId="0" applyFill="1" applyBorder="1"/>
    <xf numFmtId="0" fontId="0" fillId="0" borderId="67" xfId="0" applyFill="1" applyBorder="1"/>
    <xf numFmtId="0" fontId="0" fillId="0" borderId="68" xfId="0" applyFill="1" applyBorder="1"/>
    <xf numFmtId="0" fontId="0" fillId="0" borderId="21" xfId="0" applyBorder="1"/>
    <xf numFmtId="0" fontId="50" fillId="0" borderId="0" xfId="0" applyFont="1" applyBorder="1"/>
    <xf numFmtId="0" fontId="0" fillId="0" borderId="18" xfId="0" applyBorder="1" applyAlignment="1">
      <alignment horizontal="right"/>
    </xf>
    <xf numFmtId="0" fontId="0" fillId="0" borderId="19" xfId="0" applyBorder="1" applyAlignment="1">
      <alignment horizontal="right"/>
    </xf>
    <xf numFmtId="0" fontId="0" fillId="0" borderId="50" xfId="0" applyBorder="1"/>
    <xf numFmtId="0" fontId="62" fillId="2" borderId="0" xfId="0" applyFont="1" applyFill="1" applyProtection="1">
      <protection hidden="1"/>
    </xf>
    <xf numFmtId="0" fontId="0" fillId="5" borderId="25" xfId="0" applyFont="1" applyFill="1" applyBorder="1" applyAlignment="1" applyProtection="1">
      <alignment horizontal="right"/>
    </xf>
    <xf numFmtId="0" fontId="37" fillId="5" borderId="25" xfId="0" applyFont="1" applyFill="1" applyBorder="1" applyAlignment="1" applyProtection="1">
      <alignment horizontal="left"/>
    </xf>
    <xf numFmtId="0" fontId="37" fillId="5" borderId="25" xfId="0" applyFont="1" applyFill="1" applyBorder="1" applyAlignment="1" applyProtection="1">
      <alignment horizontal="right"/>
    </xf>
    <xf numFmtId="0" fontId="33" fillId="6" borderId="9" xfId="0" applyFont="1" applyFill="1" applyBorder="1" applyProtection="1"/>
    <xf numFmtId="0" fontId="26" fillId="6" borderId="11" xfId="0" applyFont="1" applyFill="1" applyBorder="1" applyProtection="1"/>
    <xf numFmtId="0" fontId="26" fillId="6" borderId="11" xfId="0" applyFont="1" applyFill="1" applyBorder="1" applyProtection="1">
      <protection locked="0"/>
    </xf>
    <xf numFmtId="0" fontId="31" fillId="3" borderId="11" xfId="0" applyFont="1" applyFill="1" applyBorder="1" applyAlignment="1" applyProtection="1">
      <alignment horizontal="center" vertical="center"/>
      <protection locked="0"/>
    </xf>
    <xf numFmtId="0" fontId="26" fillId="6" borderId="161" xfId="0" applyFont="1" applyFill="1" applyBorder="1" applyAlignment="1" applyProtection="1">
      <alignment horizontal="left"/>
      <protection locked="0"/>
    </xf>
    <xf numFmtId="0" fontId="0" fillId="5" borderId="24" xfId="0" applyFont="1" applyFill="1" applyBorder="1" applyAlignment="1" applyProtection="1">
      <alignment horizontal="right"/>
    </xf>
    <xf numFmtId="9" fontId="0" fillId="5" borderId="24" xfId="0" applyNumberFormat="1" applyFont="1" applyFill="1" applyBorder="1" applyAlignment="1" applyProtection="1">
      <alignment horizontal="right"/>
    </xf>
    <xf numFmtId="0" fontId="0" fillId="4" borderId="0" xfId="0" applyFill="1" applyAlignment="1">
      <alignment horizontal="right"/>
    </xf>
    <xf numFmtId="0" fontId="26" fillId="6" borderId="6" xfId="0" applyFont="1" applyFill="1" applyBorder="1" applyAlignment="1" applyProtection="1">
      <alignment horizontal="right"/>
    </xf>
    <xf numFmtId="0" fontId="31" fillId="3" borderId="6" xfId="0" applyFont="1" applyFill="1" applyBorder="1" applyAlignment="1" applyProtection="1">
      <alignment horizontal="right" vertical="center"/>
      <protection locked="0"/>
    </xf>
    <xf numFmtId="0" fontId="0" fillId="0" borderId="0" xfId="0" applyAlignment="1">
      <alignment horizontal="right"/>
    </xf>
    <xf numFmtId="0" fontId="26" fillId="4" borderId="0" xfId="0" applyFont="1" applyFill="1" applyProtection="1"/>
    <xf numFmtId="0" fontId="37" fillId="2" borderId="0" xfId="0" applyFont="1" applyFill="1" applyProtection="1">
      <protection hidden="1"/>
    </xf>
    <xf numFmtId="0" fontId="0" fillId="0" borderId="3" xfId="0" applyFont="1" applyBorder="1"/>
    <xf numFmtId="0" fontId="0" fillId="0" borderId="2" xfId="0" applyFont="1" applyFill="1" applyBorder="1"/>
    <xf numFmtId="0" fontId="0" fillId="0" borderId="51" xfId="0" applyFont="1" applyFill="1" applyBorder="1"/>
    <xf numFmtId="0" fontId="0" fillId="0" borderId="52" xfId="0" applyFont="1" applyFill="1" applyBorder="1"/>
    <xf numFmtId="0" fontId="0" fillId="0" borderId="53" xfId="0" applyFont="1" applyFill="1" applyBorder="1"/>
    <xf numFmtId="0" fontId="0" fillId="0" borderId="54" xfId="0" applyFont="1" applyFill="1" applyBorder="1"/>
    <xf numFmtId="0" fontId="0" fillId="0" borderId="55" xfId="0" applyFont="1" applyFill="1" applyBorder="1"/>
    <xf numFmtId="0" fontId="0" fillId="0" borderId="86" xfId="0" applyBorder="1"/>
    <xf numFmtId="0" fontId="0" fillId="0" borderId="87" xfId="0" applyBorder="1"/>
    <xf numFmtId="0" fontId="0" fillId="8" borderId="71" xfId="0" applyFill="1" applyBorder="1"/>
    <xf numFmtId="0" fontId="31" fillId="4" borderId="73" xfId="0" applyFont="1" applyFill="1" applyBorder="1" applyAlignment="1" applyProtection="1">
      <alignment horizontal="center" vertical="center"/>
      <protection locked="0"/>
    </xf>
    <xf numFmtId="0" fontId="65" fillId="22" borderId="61" xfId="0" applyFont="1" applyFill="1" applyBorder="1" applyAlignment="1">
      <alignment horizontal="center" vertical="top" wrapText="1"/>
    </xf>
    <xf numFmtId="0" fontId="65" fillId="22" borderId="62" xfId="0" applyFont="1" applyFill="1" applyBorder="1" applyAlignment="1">
      <alignment horizontal="left" vertical="top" wrapText="1"/>
    </xf>
    <xf numFmtId="0" fontId="65" fillId="22" borderId="63" xfId="0" applyFont="1" applyFill="1" applyBorder="1" applyAlignment="1">
      <alignment horizontal="center" vertical="top" wrapText="1"/>
    </xf>
    <xf numFmtId="0" fontId="65" fillId="4" borderId="21" xfId="0" applyFont="1" applyFill="1" applyBorder="1" applyAlignment="1">
      <alignment horizontal="left" vertical="top" wrapText="1"/>
    </xf>
    <xf numFmtId="0" fontId="65" fillId="4" borderId="22" xfId="0" applyFont="1" applyFill="1" applyBorder="1" applyAlignment="1">
      <alignment horizontal="left" vertical="top" wrapText="1"/>
    </xf>
    <xf numFmtId="0" fontId="65" fillId="4" borderId="23" xfId="0" applyFont="1" applyFill="1" applyBorder="1" applyAlignment="1">
      <alignment horizontal="center" vertical="top" wrapText="1"/>
    </xf>
    <xf numFmtId="0" fontId="66" fillId="0" borderId="162" xfId="0" applyFont="1" applyBorder="1" applyProtection="1">
      <protection locked="0"/>
    </xf>
    <xf numFmtId="0" fontId="66" fillId="0" borderId="163" xfId="0" applyFont="1" applyBorder="1" applyProtection="1">
      <protection locked="0"/>
    </xf>
    <xf numFmtId="0" fontId="67" fillId="18" borderId="2" xfId="5" applyBorder="1"/>
    <xf numFmtId="0" fontId="68" fillId="0" borderId="55" xfId="0" applyFont="1" applyBorder="1" applyAlignment="1">
      <alignment horizontal="center"/>
    </xf>
    <xf numFmtId="0" fontId="67" fillId="18" borderId="2" xfId="5" applyBorder="1" applyAlignment="1">
      <alignment vertical="top"/>
    </xf>
    <xf numFmtId="0" fontId="68" fillId="0" borderId="55" xfId="0" applyFont="1" applyBorder="1" applyAlignment="1">
      <alignment horizontal="center" vertical="top"/>
    </xf>
    <xf numFmtId="0" fontId="68" fillId="0" borderId="16" xfId="0" applyFont="1" applyBorder="1"/>
    <xf numFmtId="0" fontId="68" fillId="0" borderId="0" xfId="0" applyFont="1" applyBorder="1"/>
    <xf numFmtId="0" fontId="68" fillId="0" borderId="17" xfId="0" applyFont="1" applyBorder="1" applyAlignment="1">
      <alignment horizontal="center"/>
    </xf>
    <xf numFmtId="0" fontId="65" fillId="0" borderId="16" xfId="0" applyFont="1" applyBorder="1"/>
    <xf numFmtId="0" fontId="66" fillId="0" borderId="165" xfId="0" applyFont="1" applyBorder="1" applyAlignment="1" applyProtection="1">
      <alignment wrapText="1"/>
      <protection locked="0"/>
    </xf>
    <xf numFmtId="0" fontId="70" fillId="0" borderId="55" xfId="0" applyFont="1" applyBorder="1" applyAlignment="1">
      <alignment horizontal="center"/>
    </xf>
    <xf numFmtId="0" fontId="66" fillId="0" borderId="165" xfId="0" applyFont="1" applyBorder="1" applyProtection="1">
      <protection locked="0"/>
    </xf>
    <xf numFmtId="0" fontId="70" fillId="0" borderId="55" xfId="0" applyFont="1" applyBorder="1" applyAlignment="1">
      <alignment horizontal="center" vertical="top"/>
    </xf>
    <xf numFmtId="49" fontId="66" fillId="0" borderId="162" xfId="0" applyNumberFormat="1" applyFont="1" applyBorder="1" applyProtection="1">
      <protection locked="0"/>
    </xf>
    <xf numFmtId="0" fontId="65" fillId="0" borderId="16" xfId="0" applyFont="1" applyFill="1" applyBorder="1"/>
    <xf numFmtId="0" fontId="66" fillId="0" borderId="168" xfId="0" applyFont="1" applyBorder="1" applyProtection="1">
      <protection locked="0"/>
    </xf>
    <xf numFmtId="0" fontId="66" fillId="0" borderId="169" xfId="0" applyFont="1" applyBorder="1" applyProtection="1">
      <protection locked="0"/>
    </xf>
    <xf numFmtId="0" fontId="67" fillId="18" borderId="57" xfId="5" applyBorder="1"/>
    <xf numFmtId="0" fontId="68" fillId="0" borderId="58" xfId="0" applyFont="1" applyBorder="1" applyAlignment="1">
      <alignment horizontal="center"/>
    </xf>
    <xf numFmtId="0" fontId="65" fillId="4" borderId="0" xfId="0" applyFont="1" applyFill="1" applyBorder="1" applyAlignment="1">
      <alignment horizontal="left" vertical="top" wrapText="1"/>
    </xf>
    <xf numFmtId="0" fontId="65" fillId="0" borderId="0" xfId="0" applyFont="1" applyBorder="1"/>
    <xf numFmtId="0" fontId="66" fillId="0" borderId="170" xfId="0" applyFont="1" applyBorder="1" applyAlignment="1" applyProtection="1">
      <alignment horizontal="left" vertical="center"/>
      <protection locked="0"/>
    </xf>
    <xf numFmtId="0" fontId="66" fillId="0" borderId="171" xfId="0" applyFont="1" applyBorder="1" applyAlignment="1" applyProtection="1">
      <alignment horizontal="left" vertical="center"/>
      <protection locked="0"/>
    </xf>
    <xf numFmtId="0" fontId="66" fillId="0" borderId="172" xfId="0" applyFont="1" applyBorder="1" applyAlignment="1" applyProtection="1">
      <alignment horizontal="left" vertical="center"/>
      <protection locked="0"/>
    </xf>
    <xf numFmtId="49" fontId="66" fillId="0" borderId="165" xfId="0" applyNumberFormat="1" applyFont="1" applyBorder="1" applyProtection="1">
      <protection locked="0"/>
    </xf>
    <xf numFmtId="0" fontId="65" fillId="0" borderId="0" xfId="0" applyFont="1" applyFill="1" applyBorder="1"/>
    <xf numFmtId="0" fontId="0" fillId="8" borderId="110" xfId="0" applyFill="1" applyBorder="1"/>
    <xf numFmtId="0" fontId="0" fillId="0" borderId="0" xfId="0" applyAlignment="1">
      <alignment horizontal="center" vertical="center"/>
    </xf>
    <xf numFmtId="0" fontId="0" fillId="17" borderId="0" xfId="0" applyFill="1"/>
    <xf numFmtId="0" fontId="0" fillId="17" borderId="5" xfId="0" applyFill="1" applyBorder="1"/>
    <xf numFmtId="0" fontId="0" fillId="17" borderId="88" xfId="0" applyFill="1" applyBorder="1"/>
    <xf numFmtId="0" fontId="0" fillId="17" borderId="2" xfId="0" applyFill="1" applyBorder="1"/>
    <xf numFmtId="0" fontId="0" fillId="17" borderId="71" xfId="0" applyFill="1" applyBorder="1" applyProtection="1"/>
    <xf numFmtId="0" fontId="0" fillId="17" borderId="73" xfId="0" applyFill="1" applyBorder="1" applyProtection="1"/>
    <xf numFmtId="0" fontId="26" fillId="10" borderId="78" xfId="0" applyFont="1" applyFill="1" applyBorder="1" applyProtection="1"/>
    <xf numFmtId="0" fontId="0" fillId="8" borderId="0" xfId="0" applyFill="1" applyBorder="1"/>
    <xf numFmtId="0" fontId="36" fillId="3" borderId="4" xfId="0" applyFont="1" applyFill="1" applyBorder="1" applyAlignment="1" applyProtection="1">
      <alignment vertical="top"/>
    </xf>
    <xf numFmtId="0" fontId="36" fillId="3" borderId="6" xfId="0" applyFont="1" applyFill="1" applyBorder="1" applyAlignment="1" applyProtection="1">
      <alignment vertical="top" wrapText="1"/>
    </xf>
    <xf numFmtId="0" fontId="21" fillId="3" borderId="4" xfId="0" applyFont="1" applyFill="1" applyBorder="1" applyAlignment="1" applyProtection="1">
      <alignment horizontal="left" vertical="top"/>
      <protection hidden="1"/>
    </xf>
    <xf numFmtId="0" fontId="21" fillId="3" borderId="6" xfId="0" applyFont="1" applyFill="1" applyBorder="1" applyAlignment="1" applyProtection="1">
      <alignment horizontal="left" vertical="top"/>
      <protection hidden="1"/>
    </xf>
    <xf numFmtId="0" fontId="8" fillId="3" borderId="6" xfId="0" applyFont="1" applyFill="1" applyBorder="1" applyProtection="1">
      <protection hidden="1"/>
    </xf>
    <xf numFmtId="0" fontId="21" fillId="3" borderId="6" xfId="0" applyFont="1" applyFill="1" applyBorder="1" applyAlignment="1" applyProtection="1">
      <alignment horizontal="center" vertical="top"/>
      <protection hidden="1"/>
    </xf>
    <xf numFmtId="0" fontId="71" fillId="0" borderId="0" xfId="0" applyFont="1" applyProtection="1"/>
    <xf numFmtId="0" fontId="71" fillId="0" borderId="21" xfId="0" applyFont="1" applyBorder="1" applyProtection="1"/>
    <xf numFmtId="0" fontId="71" fillId="0" borderId="22" xfId="0" applyFont="1" applyBorder="1" applyProtection="1"/>
    <xf numFmtId="0" fontId="71" fillId="0" borderId="23" xfId="0" applyFont="1" applyBorder="1" applyProtection="1"/>
    <xf numFmtId="0" fontId="72" fillId="0" borderId="0" xfId="0" applyFont="1" applyProtection="1"/>
    <xf numFmtId="0" fontId="73" fillId="0" borderId="0" xfId="0" applyFont="1" applyProtection="1"/>
    <xf numFmtId="0" fontId="74" fillId="3" borderId="4" xfId="0" applyFont="1" applyFill="1" applyBorder="1" applyAlignment="1" applyProtection="1">
      <alignment vertical="top"/>
    </xf>
    <xf numFmtId="0" fontId="74" fillId="3" borderId="6" xfId="0" applyFont="1" applyFill="1" applyBorder="1" applyAlignment="1" applyProtection="1">
      <alignment vertical="top" wrapText="1"/>
    </xf>
    <xf numFmtId="0" fontId="75" fillId="3" borderId="6" xfId="0" applyFont="1" applyFill="1" applyBorder="1" applyAlignment="1" applyProtection="1">
      <alignment vertical="top" wrapText="1"/>
    </xf>
    <xf numFmtId="0" fontId="75" fillId="3" borderId="6" xfId="0" applyFont="1" applyFill="1" applyBorder="1" applyAlignment="1" applyProtection="1">
      <alignment vertical="top"/>
    </xf>
    <xf numFmtId="0" fontId="72" fillId="0" borderId="16" xfId="0" applyFont="1" applyFill="1" applyBorder="1" applyProtection="1"/>
    <xf numFmtId="0" fontId="72" fillId="0" borderId="0" xfId="0" applyFont="1" applyFill="1" applyBorder="1" applyProtection="1"/>
    <xf numFmtId="0" fontId="72" fillId="0" borderId="0" xfId="0" applyFont="1" applyBorder="1" applyProtection="1"/>
    <xf numFmtId="0" fontId="72" fillId="0" borderId="17" xfId="0" applyFont="1" applyBorder="1" applyProtection="1"/>
    <xf numFmtId="0" fontId="76" fillId="3" borderId="137" xfId="0" applyFont="1" applyFill="1" applyBorder="1" applyAlignment="1" applyProtection="1">
      <alignment horizontal="left" vertical="center"/>
    </xf>
    <xf numFmtId="0" fontId="72" fillId="2" borderId="0" xfId="0" applyFont="1" applyFill="1" applyProtection="1"/>
    <xf numFmtId="0" fontId="76" fillId="3" borderId="41" xfId="0" applyFont="1" applyFill="1" applyBorder="1" applyAlignment="1" applyProtection="1">
      <alignment horizontal="left" vertical="center"/>
    </xf>
    <xf numFmtId="0" fontId="76" fillId="3" borderId="31" xfId="0" applyFont="1" applyFill="1" applyBorder="1" applyAlignment="1" applyProtection="1">
      <alignment horizontal="left" vertical="center"/>
    </xf>
    <xf numFmtId="0" fontId="77" fillId="5" borderId="134" xfId="0" applyFont="1" applyFill="1" applyBorder="1" applyAlignment="1" applyProtection="1">
      <alignment horizontal="left" vertical="center"/>
    </xf>
    <xf numFmtId="0" fontId="72" fillId="0" borderId="16" xfId="0" applyFont="1" applyBorder="1" applyProtection="1"/>
    <xf numFmtId="0" fontId="77" fillId="5" borderId="138" xfId="0" applyFont="1" applyFill="1" applyBorder="1" applyAlignment="1" applyProtection="1">
      <alignment horizontal="left" vertical="center"/>
    </xf>
    <xf numFmtId="0" fontId="76" fillId="3" borderId="45" xfId="0" applyFont="1" applyFill="1" applyBorder="1" applyAlignment="1" applyProtection="1">
      <alignment horizontal="left" vertical="center"/>
    </xf>
    <xf numFmtId="0" fontId="76" fillId="3" borderId="27" xfId="0" applyFont="1" applyFill="1" applyBorder="1" applyAlignment="1" applyProtection="1">
      <alignment horizontal="left" vertical="center"/>
    </xf>
    <xf numFmtId="10" fontId="78" fillId="5" borderId="135" xfId="2" applyNumberFormat="1" applyFont="1" applyFill="1" applyBorder="1" applyAlignment="1" applyProtection="1">
      <alignment horizontal="left" vertical="center"/>
    </xf>
    <xf numFmtId="165" fontId="76" fillId="3" borderId="139" xfId="0" applyNumberFormat="1" applyFont="1" applyFill="1" applyBorder="1" applyAlignment="1" applyProtection="1">
      <alignment horizontal="left" vertical="center"/>
    </xf>
    <xf numFmtId="0" fontId="76" fillId="3" borderId="132" xfId="0" applyFont="1" applyFill="1" applyBorder="1" applyAlignment="1" applyProtection="1">
      <alignment horizontal="left" vertical="center"/>
    </xf>
    <xf numFmtId="0" fontId="76" fillId="3" borderId="133" xfId="0" applyFont="1" applyFill="1" applyBorder="1" applyAlignment="1" applyProtection="1">
      <alignment horizontal="left" vertical="center"/>
    </xf>
    <xf numFmtId="0" fontId="77" fillId="5" borderId="136" xfId="0" applyFont="1" applyFill="1" applyBorder="1" applyAlignment="1" applyProtection="1">
      <alignment vertical="center"/>
    </xf>
    <xf numFmtId="0" fontId="73" fillId="0" borderId="131" xfId="0" applyFont="1" applyBorder="1" applyProtection="1"/>
    <xf numFmtId="0" fontId="72" fillId="0" borderId="131" xfId="0" applyFont="1" applyBorder="1" applyProtection="1"/>
    <xf numFmtId="0" fontId="72" fillId="2" borderId="131" xfId="0" applyFont="1" applyFill="1" applyBorder="1" applyProtection="1"/>
    <xf numFmtId="0" fontId="79" fillId="2" borderId="131" xfId="0" applyFont="1" applyFill="1" applyBorder="1" applyProtection="1"/>
    <xf numFmtId="0" fontId="72" fillId="4" borderId="131" xfId="0" applyFont="1" applyFill="1" applyBorder="1" applyAlignment="1" applyProtection="1">
      <alignment horizontal="right"/>
    </xf>
    <xf numFmtId="0" fontId="72" fillId="4" borderId="0" xfId="0" applyFont="1" applyFill="1" applyBorder="1" applyProtection="1"/>
    <xf numFmtId="0" fontId="73" fillId="0" borderId="156" xfId="0" applyFont="1" applyBorder="1" applyProtection="1"/>
    <xf numFmtId="0" fontId="72" fillId="0" borderId="156" xfId="0" applyFont="1" applyBorder="1" applyProtection="1"/>
    <xf numFmtId="0" fontId="72" fillId="0" borderId="2" xfId="0" applyFont="1" applyBorder="1" applyProtection="1"/>
    <xf numFmtId="0" fontId="73" fillId="0" borderId="55" xfId="0" applyFont="1" applyFill="1" applyBorder="1" applyProtection="1"/>
    <xf numFmtId="0" fontId="83" fillId="2" borderId="1" xfId="0" applyFont="1" applyFill="1" applyBorder="1" applyAlignment="1" applyProtection="1">
      <protection hidden="1"/>
    </xf>
    <xf numFmtId="0" fontId="83" fillId="0" borderId="1" xfId="0" applyFont="1" applyFill="1" applyBorder="1" applyAlignment="1" applyProtection="1">
      <protection hidden="1"/>
    </xf>
    <xf numFmtId="0" fontId="86" fillId="8" borderId="50" xfId="0" applyFont="1" applyFill="1" applyBorder="1" applyProtection="1">
      <protection hidden="1"/>
    </xf>
    <xf numFmtId="0" fontId="73" fillId="0" borderId="0" xfId="0" applyFont="1" applyFill="1" applyProtection="1"/>
    <xf numFmtId="0" fontId="72" fillId="0" borderId="0" xfId="0" applyFont="1"/>
    <xf numFmtId="0" fontId="88" fillId="2" borderId="0" xfId="0" applyFont="1" applyFill="1" applyAlignment="1" applyProtection="1">
      <alignment vertical="center"/>
      <protection hidden="1"/>
    </xf>
    <xf numFmtId="0" fontId="88" fillId="2" borderId="16" xfId="0" applyFont="1" applyFill="1" applyBorder="1" applyAlignment="1" applyProtection="1">
      <alignment vertical="center"/>
      <protection hidden="1"/>
    </xf>
    <xf numFmtId="0" fontId="86" fillId="8" borderId="110" xfId="0" applyFont="1" applyFill="1" applyBorder="1" applyProtection="1">
      <protection hidden="1"/>
    </xf>
    <xf numFmtId="0" fontId="72" fillId="12" borderId="66" xfId="0" applyFont="1" applyFill="1" applyBorder="1" applyProtection="1"/>
    <xf numFmtId="0" fontId="72" fillId="12" borderId="67" xfId="0" applyFont="1" applyFill="1" applyBorder="1" applyProtection="1"/>
    <xf numFmtId="0" fontId="72" fillId="12" borderId="68" xfId="0" applyFont="1" applyFill="1" applyBorder="1" applyProtection="1"/>
    <xf numFmtId="0" fontId="72" fillId="4" borderId="16" xfId="0" applyFont="1" applyFill="1" applyBorder="1" applyProtection="1"/>
    <xf numFmtId="0" fontId="72" fillId="0" borderId="5" xfId="0" applyFont="1" applyBorder="1" applyProtection="1"/>
    <xf numFmtId="0" fontId="72" fillId="12" borderId="50" xfId="0" applyFont="1" applyFill="1" applyBorder="1" applyProtection="1"/>
    <xf numFmtId="0" fontId="72" fillId="12" borderId="111" xfId="0" applyFont="1" applyFill="1" applyBorder="1" applyProtection="1"/>
    <xf numFmtId="1" fontId="72" fillId="12" borderId="68" xfId="0" applyNumberFormat="1" applyFont="1" applyFill="1" applyBorder="1" applyProtection="1"/>
    <xf numFmtId="0" fontId="72" fillId="0" borderId="15" xfId="0" applyFont="1" applyBorder="1" applyProtection="1"/>
    <xf numFmtId="0" fontId="72" fillId="0" borderId="3" xfId="0" applyFont="1" applyBorder="1" applyProtection="1"/>
    <xf numFmtId="0" fontId="72" fillId="2" borderId="2" xfId="0" applyFont="1" applyFill="1" applyBorder="1" applyProtection="1">
      <protection hidden="1"/>
    </xf>
    <xf numFmtId="0" fontId="72" fillId="2" borderId="0" xfId="0" applyFont="1" applyFill="1" applyBorder="1" applyProtection="1">
      <protection hidden="1"/>
    </xf>
    <xf numFmtId="0" fontId="73" fillId="0" borderId="0" xfId="0" applyFont="1" applyFill="1" applyBorder="1" applyProtection="1"/>
    <xf numFmtId="0" fontId="72" fillId="2" borderId="0" xfId="0" applyFont="1" applyFill="1" applyProtection="1">
      <protection hidden="1"/>
    </xf>
    <xf numFmtId="0" fontId="88" fillId="2" borderId="0" xfId="0" applyFont="1" applyFill="1" applyProtection="1">
      <protection hidden="1"/>
    </xf>
    <xf numFmtId="0" fontId="88" fillId="2" borderId="16" xfId="0" applyFont="1" applyFill="1" applyBorder="1" applyProtection="1">
      <protection hidden="1"/>
    </xf>
    <xf numFmtId="0" fontId="77" fillId="2" borderId="0" xfId="0" applyFont="1" applyFill="1" applyProtection="1">
      <protection hidden="1"/>
    </xf>
    <xf numFmtId="0" fontId="83" fillId="2" borderId="122" xfId="0" applyFont="1" applyFill="1" applyBorder="1" applyProtection="1">
      <protection hidden="1"/>
    </xf>
    <xf numFmtId="0" fontId="72" fillId="12" borderId="51" xfId="0" applyFont="1" applyFill="1" applyBorder="1" applyProtection="1">
      <protection hidden="1"/>
    </xf>
    <xf numFmtId="0" fontId="72" fillId="12" borderId="53" xfId="0" applyFont="1" applyFill="1" applyBorder="1" applyProtection="1">
      <protection hidden="1"/>
    </xf>
    <xf numFmtId="0" fontId="73" fillId="0" borderId="148" xfId="0" applyFont="1" applyFill="1" applyBorder="1" applyProtection="1"/>
    <xf numFmtId="0" fontId="72" fillId="12" borderId="54" xfId="0" applyFont="1" applyFill="1" applyBorder="1" applyProtection="1">
      <protection hidden="1"/>
    </xf>
    <xf numFmtId="0" fontId="72" fillId="12" borderId="55" xfId="0" applyFont="1" applyFill="1" applyBorder="1" applyProtection="1">
      <protection hidden="1"/>
    </xf>
    <xf numFmtId="0" fontId="92" fillId="2" borderId="0" xfId="0" applyFont="1" applyFill="1" applyProtection="1">
      <protection hidden="1"/>
    </xf>
    <xf numFmtId="0" fontId="92" fillId="2" borderId="0" xfId="0" applyFont="1" applyFill="1" applyAlignment="1" applyProtection="1">
      <alignment wrapText="1"/>
      <protection hidden="1"/>
    </xf>
    <xf numFmtId="0" fontId="72" fillId="12" borderId="56" xfId="0" applyFont="1" applyFill="1" applyBorder="1" applyProtection="1">
      <protection hidden="1"/>
    </xf>
    <xf numFmtId="0" fontId="72" fillId="12" borderId="58" xfId="0" applyFont="1" applyFill="1" applyBorder="1" applyProtection="1">
      <protection hidden="1"/>
    </xf>
    <xf numFmtId="0" fontId="72" fillId="12" borderId="111" xfId="0" applyFont="1" applyFill="1" applyBorder="1" applyProtection="1">
      <protection hidden="1"/>
    </xf>
    <xf numFmtId="0" fontId="72" fillId="12" borderId="51" xfId="0" applyFont="1" applyFill="1" applyBorder="1" applyProtection="1"/>
    <xf numFmtId="0" fontId="72" fillId="12" borderId="53" xfId="0" applyFont="1" applyFill="1" applyBorder="1" applyProtection="1"/>
    <xf numFmtId="0" fontId="72" fillId="2" borderId="15" xfId="0" applyFont="1" applyFill="1" applyBorder="1" applyProtection="1">
      <protection hidden="1"/>
    </xf>
    <xf numFmtId="0" fontId="72" fillId="12" borderId="66" xfId="0" applyFont="1" applyFill="1" applyBorder="1" applyProtection="1">
      <protection hidden="1"/>
    </xf>
    <xf numFmtId="0" fontId="72" fillId="12" borderId="68" xfId="0" applyFont="1" applyFill="1" applyBorder="1" applyProtection="1">
      <protection hidden="1"/>
    </xf>
    <xf numFmtId="0" fontId="72" fillId="12" borderId="50" xfId="0" applyFont="1" applyFill="1" applyBorder="1" applyProtection="1">
      <protection hidden="1"/>
    </xf>
    <xf numFmtId="0" fontId="88" fillId="2" borderId="0" xfId="0" applyFont="1" applyFill="1" applyBorder="1" applyAlignment="1" applyProtection="1">
      <alignment horizontal="left" vertical="top"/>
      <protection hidden="1"/>
    </xf>
    <xf numFmtId="0" fontId="72" fillId="12" borderId="70" xfId="0" applyFont="1" applyFill="1" applyBorder="1" applyProtection="1">
      <protection hidden="1"/>
    </xf>
    <xf numFmtId="0" fontId="72" fillId="12" borderId="67" xfId="0" applyFont="1" applyFill="1" applyBorder="1" applyProtection="1">
      <protection hidden="1"/>
    </xf>
    <xf numFmtId="0" fontId="78" fillId="2" borderId="0" xfId="0" applyFont="1" applyFill="1" applyBorder="1" applyAlignment="1" applyProtection="1">
      <alignment horizontal="left" vertical="top" wrapText="1"/>
    </xf>
    <xf numFmtId="0" fontId="88" fillId="0" borderId="0" xfId="0" applyFont="1" applyFill="1" applyBorder="1" applyAlignment="1" applyProtection="1">
      <alignment horizontal="center" vertical="center"/>
    </xf>
    <xf numFmtId="9" fontId="72" fillId="12" borderId="66" xfId="0" applyNumberFormat="1" applyFont="1" applyFill="1" applyBorder="1" applyProtection="1">
      <protection hidden="1"/>
    </xf>
    <xf numFmtId="9" fontId="72" fillId="12" borderId="67" xfId="0" applyNumberFormat="1" applyFont="1" applyFill="1" applyBorder="1" applyProtection="1">
      <protection hidden="1"/>
    </xf>
    <xf numFmtId="10" fontId="72" fillId="0" borderId="16" xfId="0" applyNumberFormat="1" applyFont="1" applyBorder="1" applyProtection="1"/>
    <xf numFmtId="9" fontId="72" fillId="12" borderId="68" xfId="0" applyNumberFormat="1" applyFont="1" applyFill="1" applyBorder="1" applyProtection="1">
      <protection hidden="1"/>
    </xf>
    <xf numFmtId="1" fontId="72" fillId="12" borderId="50" xfId="0" applyNumberFormat="1" applyFont="1" applyFill="1" applyBorder="1" applyProtection="1">
      <protection hidden="1"/>
    </xf>
    <xf numFmtId="0" fontId="88" fillId="0" borderId="16" xfId="0" applyFont="1" applyFill="1" applyBorder="1" applyProtection="1">
      <protection hidden="1"/>
    </xf>
    <xf numFmtId="0" fontId="72" fillId="12" borderId="23" xfId="0" applyFont="1" applyFill="1" applyBorder="1" applyProtection="1">
      <protection hidden="1"/>
    </xf>
    <xf numFmtId="9" fontId="72" fillId="12" borderId="54" xfId="0" applyNumberFormat="1" applyFont="1" applyFill="1" applyBorder="1" applyProtection="1">
      <protection hidden="1"/>
    </xf>
    <xf numFmtId="9" fontId="72" fillId="12" borderId="55" xfId="0" applyNumberFormat="1" applyFont="1" applyFill="1" applyBorder="1" applyProtection="1">
      <protection hidden="1"/>
    </xf>
    <xf numFmtId="9" fontId="72" fillId="12" borderId="56" xfId="0" applyNumberFormat="1" applyFont="1" applyFill="1" applyBorder="1" applyProtection="1">
      <protection hidden="1"/>
    </xf>
    <xf numFmtId="9" fontId="72" fillId="12" borderId="58" xfId="0" applyNumberFormat="1" applyFont="1" applyFill="1" applyBorder="1" applyProtection="1">
      <protection hidden="1"/>
    </xf>
    <xf numFmtId="0" fontId="78" fillId="2" borderId="2" xfId="0" applyFont="1" applyFill="1" applyBorder="1" applyAlignment="1" applyProtection="1">
      <alignment horizontal="left" vertical="top" wrapText="1"/>
    </xf>
    <xf numFmtId="0" fontId="93" fillId="0" borderId="0" xfId="0" applyFont="1" applyFill="1" applyBorder="1" applyAlignment="1" applyProtection="1">
      <alignment horizontal="left" vertical="top" wrapText="1"/>
    </xf>
    <xf numFmtId="0" fontId="78" fillId="2" borderId="2" xfId="0" applyFont="1" applyFill="1" applyBorder="1" applyAlignment="1" applyProtection="1">
      <alignment vertical="top" wrapText="1"/>
      <protection hidden="1"/>
    </xf>
    <xf numFmtId="0" fontId="78" fillId="2" borderId="0" xfId="0" applyFont="1" applyFill="1" applyBorder="1" applyAlignment="1" applyProtection="1">
      <alignment vertical="top" wrapText="1"/>
      <protection hidden="1"/>
    </xf>
    <xf numFmtId="0" fontId="88" fillId="0" borderId="0" xfId="0" applyFont="1" applyFill="1" applyBorder="1" applyAlignment="1" applyProtection="1">
      <alignment horizontal="left" vertical="center"/>
    </xf>
    <xf numFmtId="1" fontId="88" fillId="2" borderId="16" xfId="0" applyNumberFormat="1" applyFont="1" applyFill="1" applyBorder="1" applyAlignment="1" applyProtection="1">
      <alignment horizontal="center" vertical="center"/>
      <protection hidden="1"/>
    </xf>
    <xf numFmtId="0" fontId="78" fillId="2" borderId="3" xfId="0" applyFont="1" applyFill="1" applyBorder="1" applyAlignment="1" applyProtection="1">
      <alignment vertical="top" wrapText="1"/>
      <protection hidden="1"/>
    </xf>
    <xf numFmtId="0" fontId="72" fillId="12" borderId="69" xfId="0" applyFont="1" applyFill="1" applyBorder="1" applyProtection="1"/>
    <xf numFmtId="0" fontId="78" fillId="12" borderId="74" xfId="0" applyFont="1" applyFill="1" applyBorder="1" applyAlignment="1" applyProtection="1">
      <alignment vertical="top" wrapText="1"/>
      <protection hidden="1"/>
    </xf>
    <xf numFmtId="0" fontId="78" fillId="12" borderId="66" xfId="0" applyFont="1" applyFill="1" applyBorder="1" applyAlignment="1" applyProtection="1">
      <alignment vertical="top" wrapText="1"/>
      <protection hidden="1"/>
    </xf>
    <xf numFmtId="0" fontId="78" fillId="12" borderId="75" xfId="0" applyFont="1" applyFill="1" applyBorder="1" applyAlignment="1" applyProtection="1">
      <alignment vertical="top" wrapText="1"/>
      <protection hidden="1"/>
    </xf>
    <xf numFmtId="0" fontId="78" fillId="12" borderId="67" xfId="0" applyFont="1" applyFill="1" applyBorder="1" applyAlignment="1" applyProtection="1">
      <alignment vertical="top" wrapText="1"/>
      <protection hidden="1"/>
    </xf>
    <xf numFmtId="0" fontId="78" fillId="12" borderId="147" xfId="0" applyFont="1" applyFill="1" applyBorder="1" applyAlignment="1" applyProtection="1">
      <alignment vertical="top" wrapText="1"/>
      <protection hidden="1"/>
    </xf>
    <xf numFmtId="0" fontId="78" fillId="12" borderId="68" xfId="0" applyFont="1" applyFill="1" applyBorder="1" applyAlignment="1" applyProtection="1">
      <alignment vertical="top" wrapText="1"/>
      <protection hidden="1"/>
    </xf>
    <xf numFmtId="0" fontId="78" fillId="12" borderId="50" xfId="0" applyFont="1" applyFill="1" applyBorder="1" applyAlignment="1" applyProtection="1">
      <alignment vertical="top" wrapText="1"/>
      <protection hidden="1"/>
    </xf>
    <xf numFmtId="0" fontId="78" fillId="2" borderId="13" xfId="0" applyFont="1" applyFill="1" applyBorder="1" applyAlignment="1" applyProtection="1">
      <alignment vertical="top" wrapText="1"/>
      <protection hidden="1"/>
    </xf>
    <xf numFmtId="166" fontId="78" fillId="12" borderId="50" xfId="0" applyNumberFormat="1" applyFont="1" applyFill="1" applyBorder="1" applyAlignment="1" applyProtection="1">
      <alignment vertical="top" wrapText="1"/>
      <protection hidden="1"/>
    </xf>
    <xf numFmtId="0" fontId="78" fillId="12" borderId="3" xfId="0" applyFont="1" applyFill="1" applyBorder="1" applyAlignment="1" applyProtection="1">
      <alignment vertical="top" wrapText="1"/>
      <protection hidden="1"/>
    </xf>
    <xf numFmtId="0" fontId="78" fillId="12" borderId="146" xfId="0" applyFont="1" applyFill="1" applyBorder="1" applyAlignment="1" applyProtection="1">
      <alignment vertical="top" wrapText="1"/>
      <protection hidden="1"/>
    </xf>
    <xf numFmtId="0" fontId="78" fillId="2" borderId="4" xfId="0" applyFont="1" applyFill="1" applyBorder="1" applyAlignment="1" applyProtection="1">
      <alignment vertical="top" wrapText="1"/>
      <protection hidden="1"/>
    </xf>
    <xf numFmtId="0" fontId="78" fillId="12" borderId="5" xfId="0" applyFont="1" applyFill="1" applyBorder="1" applyAlignment="1" applyProtection="1">
      <alignment vertical="top" wrapText="1"/>
      <protection hidden="1"/>
    </xf>
    <xf numFmtId="0" fontId="78" fillId="12" borderId="9" xfId="0" applyFont="1" applyFill="1" applyBorder="1" applyAlignment="1" applyProtection="1">
      <alignment vertical="top" wrapText="1"/>
      <protection hidden="1"/>
    </xf>
    <xf numFmtId="0" fontId="78" fillId="12" borderId="2" xfId="0" applyFont="1" applyFill="1" applyBorder="1" applyAlignment="1" applyProtection="1">
      <alignment vertical="top" wrapText="1"/>
      <protection hidden="1"/>
    </xf>
    <xf numFmtId="0" fontId="78" fillId="12" borderId="66" xfId="0" applyFont="1" applyFill="1" applyBorder="1" applyAlignment="1" applyProtection="1">
      <alignment vertical="top"/>
      <protection hidden="1"/>
    </xf>
    <xf numFmtId="0" fontId="78" fillId="2" borderId="0" xfId="0" applyFont="1" applyFill="1" applyBorder="1" applyAlignment="1" applyProtection="1">
      <alignment vertical="top"/>
      <protection hidden="1"/>
    </xf>
    <xf numFmtId="0" fontId="78" fillId="12" borderId="68" xfId="0" applyFont="1" applyFill="1" applyBorder="1" applyAlignment="1" applyProtection="1">
      <alignment vertical="top"/>
      <protection hidden="1"/>
    </xf>
    <xf numFmtId="0" fontId="78" fillId="2" borderId="5" xfId="0" applyFont="1" applyFill="1" applyBorder="1" applyAlignment="1" applyProtection="1">
      <alignment vertical="top" wrapText="1"/>
      <protection hidden="1"/>
    </xf>
    <xf numFmtId="0" fontId="78" fillId="12" borderId="67" xfId="0" applyFont="1" applyFill="1" applyBorder="1" applyProtection="1">
      <protection hidden="1"/>
    </xf>
    <xf numFmtId="0" fontId="78" fillId="12" borderId="68" xfId="0" applyFont="1" applyFill="1" applyBorder="1" applyProtection="1">
      <protection hidden="1"/>
    </xf>
    <xf numFmtId="0" fontId="72" fillId="2" borderId="5" xfId="0" applyFont="1" applyFill="1" applyBorder="1" applyProtection="1">
      <protection hidden="1"/>
    </xf>
    <xf numFmtId="0" fontId="88" fillId="2" borderId="0" xfId="0" applyFont="1" applyFill="1" applyAlignment="1" applyProtection="1">
      <alignment horizontal="left" wrapText="1"/>
      <protection hidden="1"/>
    </xf>
    <xf numFmtId="0" fontId="77" fillId="12" borderId="66" xfId="0" applyFont="1" applyFill="1" applyBorder="1" applyProtection="1">
      <protection hidden="1"/>
    </xf>
    <xf numFmtId="0" fontId="77" fillId="12" borderId="67" xfId="0" applyFont="1" applyFill="1" applyBorder="1" applyProtection="1">
      <protection hidden="1"/>
    </xf>
    <xf numFmtId="0" fontId="77" fillId="12" borderId="68" xfId="0" applyFont="1" applyFill="1" applyBorder="1" applyProtection="1">
      <protection hidden="1"/>
    </xf>
    <xf numFmtId="0" fontId="72" fillId="2" borderId="3" xfId="0" applyFont="1" applyFill="1" applyBorder="1" applyProtection="1">
      <protection hidden="1"/>
    </xf>
    <xf numFmtId="0" fontId="72" fillId="12" borderId="53" xfId="0" applyFont="1" applyFill="1" applyBorder="1"/>
    <xf numFmtId="0" fontId="72" fillId="12" borderId="55" xfId="0" applyFont="1" applyFill="1" applyBorder="1"/>
    <xf numFmtId="0" fontId="72" fillId="12" borderId="58" xfId="0" applyFont="1" applyFill="1" applyBorder="1"/>
    <xf numFmtId="0" fontId="88" fillId="0" borderId="16" xfId="0" applyFont="1" applyFill="1" applyBorder="1" applyAlignment="1" applyProtection="1">
      <alignment horizontal="left" vertical="top" wrapText="1"/>
    </xf>
    <xf numFmtId="0" fontId="88" fillId="2" borderId="16" xfId="0" applyFont="1" applyFill="1" applyBorder="1" applyAlignment="1" applyProtection="1">
      <alignment horizontal="left" vertical="top" wrapText="1"/>
    </xf>
    <xf numFmtId="0" fontId="73" fillId="0" borderId="0" xfId="0" applyFont="1" applyBorder="1" applyProtection="1"/>
    <xf numFmtId="0" fontId="72" fillId="12" borderId="75" xfId="0" applyFont="1" applyFill="1" applyBorder="1" applyProtection="1"/>
    <xf numFmtId="0" fontId="72" fillId="12" borderId="70" xfId="0" applyFont="1" applyFill="1" applyBorder="1" applyProtection="1"/>
    <xf numFmtId="0" fontId="72" fillId="12" borderId="147" xfId="0" applyFont="1" applyFill="1" applyBorder="1" applyProtection="1"/>
    <xf numFmtId="0" fontId="72" fillId="12" borderId="5" xfId="0" applyFont="1" applyFill="1" applyBorder="1" applyProtection="1"/>
    <xf numFmtId="0" fontId="83" fillId="2" borderId="1" xfId="0" applyFont="1" applyFill="1" applyBorder="1" applyProtection="1">
      <protection hidden="1"/>
    </xf>
    <xf numFmtId="0" fontId="72" fillId="12" borderId="110" xfId="0" applyFont="1" applyFill="1" applyBorder="1" applyProtection="1"/>
    <xf numFmtId="0" fontId="78" fillId="12" borderId="66" xfId="0" applyFont="1" applyFill="1" applyBorder="1" applyProtection="1">
      <protection hidden="1"/>
    </xf>
    <xf numFmtId="0" fontId="88" fillId="2" borderId="0" xfId="0" applyFont="1" applyFill="1" applyBorder="1" applyAlignment="1" applyProtection="1">
      <alignment horizontal="left" vertical="top" wrapText="1"/>
      <protection hidden="1"/>
    </xf>
    <xf numFmtId="0" fontId="88" fillId="2" borderId="16" xfId="0" applyFont="1" applyFill="1" applyBorder="1" applyAlignment="1" applyProtection="1">
      <alignment horizontal="left" vertical="top" wrapText="1"/>
      <protection hidden="1"/>
    </xf>
    <xf numFmtId="0" fontId="72" fillId="12" borderId="69" xfId="0" applyFont="1" applyFill="1" applyBorder="1" applyProtection="1">
      <protection hidden="1"/>
    </xf>
    <xf numFmtId="0" fontId="95" fillId="2" borderId="0" xfId="0" applyFont="1" applyFill="1" applyBorder="1" applyAlignment="1" applyProtection="1">
      <alignment horizontal="left" vertical="top" wrapText="1"/>
      <protection hidden="1"/>
    </xf>
    <xf numFmtId="0" fontId="88" fillId="8" borderId="16" xfId="0" applyFont="1" applyFill="1" applyBorder="1" applyAlignment="1" applyProtection="1">
      <alignment horizontal="left" vertical="top" wrapText="1"/>
      <protection hidden="1"/>
    </xf>
    <xf numFmtId="0" fontId="88" fillId="0" borderId="0" xfId="0" applyFont="1" applyFill="1" applyBorder="1" applyAlignment="1" applyProtection="1">
      <alignment horizontal="center" vertical="center"/>
      <protection hidden="1"/>
    </xf>
    <xf numFmtId="0" fontId="88" fillId="0" borderId="16" xfId="0" applyFont="1" applyFill="1" applyBorder="1" applyAlignment="1" applyProtection="1">
      <alignment vertical="center"/>
      <protection hidden="1"/>
    </xf>
    <xf numFmtId="0" fontId="88" fillId="0" borderId="0" xfId="0" applyFont="1" applyFill="1" applyBorder="1" applyAlignment="1" applyProtection="1">
      <alignment horizontal="left" vertical="top" wrapText="1"/>
      <protection hidden="1"/>
    </xf>
    <xf numFmtId="0" fontId="72" fillId="21" borderId="66" xfId="0" applyFont="1" applyFill="1" applyBorder="1" applyProtection="1">
      <protection hidden="1"/>
    </xf>
    <xf numFmtId="0" fontId="72" fillId="21" borderId="67" xfId="0" applyFont="1" applyFill="1" applyBorder="1" applyProtection="1">
      <protection hidden="1"/>
    </xf>
    <xf numFmtId="0" fontId="72" fillId="21" borderId="68" xfId="0" applyFont="1" applyFill="1" applyBorder="1" applyProtection="1">
      <protection hidden="1"/>
    </xf>
    <xf numFmtId="0" fontId="88" fillId="0" borderId="0" xfId="0" applyFont="1" applyFill="1" applyProtection="1">
      <protection hidden="1"/>
    </xf>
    <xf numFmtId="0" fontId="86" fillId="8" borderId="71" xfId="0" applyFont="1" applyFill="1" applyBorder="1" applyProtection="1">
      <protection hidden="1"/>
    </xf>
    <xf numFmtId="0" fontId="72" fillId="21" borderId="71" xfId="0" applyFont="1" applyFill="1" applyBorder="1" applyAlignment="1" applyProtection="1">
      <alignment horizontal="center"/>
    </xf>
    <xf numFmtId="0" fontId="72" fillId="21" borderId="110" xfId="0" applyFont="1" applyFill="1" applyBorder="1" applyAlignment="1" applyProtection="1">
      <alignment horizontal="center"/>
    </xf>
    <xf numFmtId="0" fontId="72" fillId="21" borderId="146" xfId="0" applyFont="1" applyFill="1" applyBorder="1" applyProtection="1">
      <protection hidden="1"/>
    </xf>
    <xf numFmtId="0" fontId="72" fillId="21" borderId="75" xfId="0" applyFont="1" applyFill="1" applyBorder="1" applyProtection="1">
      <protection hidden="1"/>
    </xf>
    <xf numFmtId="0" fontId="72" fillId="21" borderId="76" xfId="0" applyFont="1" applyFill="1" applyBorder="1" applyProtection="1">
      <protection hidden="1"/>
    </xf>
    <xf numFmtId="0" fontId="86" fillId="21" borderId="21" xfId="0" applyFont="1" applyFill="1" applyBorder="1" applyProtection="1">
      <protection hidden="1"/>
    </xf>
    <xf numFmtId="0" fontId="86" fillId="21" borderId="111" xfId="0" applyFont="1" applyFill="1" applyBorder="1" applyProtection="1">
      <protection hidden="1"/>
    </xf>
    <xf numFmtId="0" fontId="72" fillId="0" borderId="50" xfId="0" applyFont="1" applyBorder="1" applyProtection="1"/>
    <xf numFmtId="0" fontId="72" fillId="2" borderId="7" xfId="0" applyFont="1" applyFill="1" applyBorder="1" applyProtection="1">
      <protection hidden="1"/>
    </xf>
    <xf numFmtId="0" fontId="72" fillId="21" borderId="51" xfId="0" applyFont="1" applyFill="1" applyBorder="1" applyProtection="1">
      <protection hidden="1"/>
    </xf>
    <xf numFmtId="0" fontId="72" fillId="21" borderId="53" xfId="0" applyFont="1" applyFill="1" applyBorder="1" applyProtection="1">
      <protection hidden="1"/>
    </xf>
    <xf numFmtId="0" fontId="72" fillId="21" borderId="54" xfId="0" applyFont="1" applyFill="1" applyBorder="1" applyProtection="1">
      <protection hidden="1"/>
    </xf>
    <xf numFmtId="0" fontId="72" fillId="21" borderId="55" xfId="0" applyFont="1" applyFill="1" applyBorder="1" applyProtection="1">
      <protection hidden="1"/>
    </xf>
    <xf numFmtId="0" fontId="72" fillId="21" borderId="118" xfId="0" applyFont="1" applyFill="1" applyBorder="1" applyProtection="1">
      <protection hidden="1"/>
    </xf>
    <xf numFmtId="0" fontId="72" fillId="21" borderId="119" xfId="0" applyFont="1" applyFill="1" applyBorder="1" applyProtection="1">
      <protection hidden="1"/>
    </xf>
    <xf numFmtId="0" fontId="72" fillId="21" borderId="50" xfId="0" applyFont="1" applyFill="1" applyBorder="1" applyProtection="1">
      <protection hidden="1"/>
    </xf>
    <xf numFmtId="0" fontId="72" fillId="2" borderId="4" xfId="0" applyFont="1" applyFill="1" applyBorder="1" applyProtection="1">
      <protection hidden="1"/>
    </xf>
    <xf numFmtId="0" fontId="72" fillId="21" borderId="110" xfId="0" applyFont="1" applyFill="1" applyBorder="1" applyProtection="1">
      <protection hidden="1"/>
    </xf>
    <xf numFmtId="0" fontId="72" fillId="21" borderId="70" xfId="0" applyFont="1" applyFill="1" applyBorder="1" applyProtection="1">
      <protection hidden="1"/>
    </xf>
    <xf numFmtId="0" fontId="83" fillId="0" borderId="122" xfId="0" applyFont="1" applyFill="1" applyBorder="1" applyProtection="1">
      <protection hidden="1"/>
    </xf>
    <xf numFmtId="0" fontId="72" fillId="0" borderId="0" xfId="0" applyFont="1" applyFill="1" applyBorder="1" applyProtection="1">
      <protection hidden="1"/>
    </xf>
    <xf numFmtId="0" fontId="72" fillId="0" borderId="0" xfId="0" applyFont="1" applyFill="1" applyProtection="1">
      <protection hidden="1"/>
    </xf>
    <xf numFmtId="0" fontId="72" fillId="21" borderId="50" xfId="0" applyFont="1" applyFill="1" applyBorder="1" applyProtection="1"/>
    <xf numFmtId="0" fontId="72" fillId="21" borderId="110" xfId="0" applyFont="1" applyFill="1" applyBorder="1" applyProtection="1"/>
    <xf numFmtId="0" fontId="72" fillId="21" borderId="66" xfId="0" applyFont="1" applyFill="1" applyBorder="1" applyProtection="1"/>
    <xf numFmtId="0" fontId="72" fillId="21" borderId="70" xfId="0" applyFont="1" applyFill="1" applyBorder="1" applyProtection="1"/>
    <xf numFmtId="0" fontId="72" fillId="21" borderId="67" xfId="0" applyFont="1" applyFill="1" applyBorder="1" applyProtection="1"/>
    <xf numFmtId="0" fontId="72" fillId="0" borderId="17" xfId="0" applyFont="1" applyFill="1" applyBorder="1" applyProtection="1"/>
    <xf numFmtId="0" fontId="72" fillId="21" borderId="68" xfId="0" applyFont="1" applyFill="1" applyBorder="1" applyProtection="1"/>
    <xf numFmtId="0" fontId="83" fillId="0" borderId="1" xfId="0" applyFont="1" applyFill="1" applyBorder="1" applyProtection="1">
      <protection hidden="1"/>
    </xf>
    <xf numFmtId="0" fontId="88" fillId="2" borderId="0" xfId="0" applyFont="1" applyFill="1" applyBorder="1" applyAlignment="1" applyProtection="1">
      <alignment horizontal="left" vertical="top" wrapText="1"/>
    </xf>
    <xf numFmtId="0" fontId="72" fillId="0" borderId="2" xfId="0" applyFont="1" applyFill="1" applyBorder="1" applyProtection="1">
      <protection hidden="1"/>
    </xf>
    <xf numFmtId="49" fontId="72" fillId="0" borderId="17" xfId="0" applyNumberFormat="1" applyFont="1" applyBorder="1" applyProtection="1"/>
    <xf numFmtId="0" fontId="72" fillId="12" borderId="55" xfId="0" applyFont="1" applyFill="1" applyBorder="1" applyProtection="1"/>
    <xf numFmtId="0" fontId="72" fillId="12" borderId="58" xfId="0" applyFont="1" applyFill="1" applyBorder="1" applyProtection="1"/>
    <xf numFmtId="1" fontId="72" fillId="0" borderId="5" xfId="0" applyNumberFormat="1" applyFont="1" applyFill="1" applyBorder="1" applyProtection="1">
      <protection hidden="1"/>
    </xf>
    <xf numFmtId="49" fontId="72" fillId="0" borderId="17" xfId="0" applyNumberFormat="1" applyFont="1" applyFill="1" applyBorder="1" applyProtection="1"/>
    <xf numFmtId="0" fontId="88" fillId="2" borderId="19" xfId="0" applyFont="1" applyFill="1" applyBorder="1" applyAlignment="1" applyProtection="1">
      <alignment horizontal="left" vertical="top" wrapText="1"/>
      <protection hidden="1"/>
    </xf>
    <xf numFmtId="0" fontId="88" fillId="2" borderId="18" xfId="0" applyFont="1" applyFill="1" applyBorder="1" applyAlignment="1" applyProtection="1">
      <alignment horizontal="left" vertical="top" wrapText="1"/>
      <protection hidden="1"/>
    </xf>
    <xf numFmtId="0" fontId="72" fillId="2" borderId="57" xfId="0" applyFont="1" applyFill="1" applyBorder="1" applyProtection="1">
      <protection hidden="1"/>
    </xf>
    <xf numFmtId="0" fontId="72" fillId="2" borderId="19" xfId="0" applyFont="1" applyFill="1" applyBorder="1" applyProtection="1">
      <protection hidden="1"/>
    </xf>
    <xf numFmtId="0" fontId="73" fillId="0" borderId="20" xfId="0" applyFont="1" applyFill="1" applyBorder="1" applyProtection="1"/>
    <xf numFmtId="0" fontId="73" fillId="0" borderId="0" xfId="0" applyFont="1" applyAlignment="1" applyProtection="1">
      <alignment horizontal="right"/>
    </xf>
    <xf numFmtId="0" fontId="84" fillId="2" borderId="0" xfId="0" applyFont="1" applyFill="1" applyProtection="1">
      <protection hidden="1"/>
    </xf>
    <xf numFmtId="0" fontId="19" fillId="2" borderId="0" xfId="0" applyFont="1" applyFill="1" applyAlignment="1" applyProtection="1">
      <alignment horizontal="left" vertical="top" wrapText="1"/>
      <protection hidden="1"/>
    </xf>
    <xf numFmtId="0" fontId="15" fillId="2" borderId="0" xfId="0" applyFont="1" applyFill="1" applyAlignment="1" applyProtection="1">
      <alignment vertical="center" wrapText="1"/>
      <protection hidden="1"/>
    </xf>
    <xf numFmtId="0" fontId="0" fillId="12" borderId="54" xfId="0" applyFont="1" applyFill="1" applyBorder="1" applyProtection="1">
      <protection hidden="1"/>
    </xf>
    <xf numFmtId="0" fontId="0" fillId="12" borderId="56" xfId="0" applyFont="1" applyFill="1" applyBorder="1" applyProtection="1">
      <protection hidden="1"/>
    </xf>
    <xf numFmtId="0" fontId="6" fillId="3" borderId="6" xfId="0" applyFont="1" applyFill="1" applyBorder="1" applyProtection="1">
      <protection hidden="1"/>
    </xf>
    <xf numFmtId="0" fontId="17" fillId="3" borderId="6" xfId="0" applyFont="1" applyFill="1" applyBorder="1" applyAlignment="1" applyProtection="1">
      <alignment horizontal="left" vertical="center"/>
      <protection hidden="1"/>
    </xf>
    <xf numFmtId="0" fontId="0" fillId="0" borderId="0" xfId="0" applyProtection="1">
      <protection hidden="1"/>
    </xf>
    <xf numFmtId="0" fontId="36" fillId="3" borderId="4" xfId="0" applyFont="1" applyFill="1" applyBorder="1" applyAlignment="1" applyProtection="1">
      <alignment vertical="top"/>
      <protection hidden="1"/>
    </xf>
    <xf numFmtId="0" fontId="36" fillId="3" borderId="6" xfId="0" applyFont="1" applyFill="1" applyBorder="1" applyAlignment="1" applyProtection="1">
      <alignment vertical="top" wrapText="1"/>
      <protection hidden="1"/>
    </xf>
    <xf numFmtId="0" fontId="15" fillId="4" borderId="0" xfId="0" applyFont="1" applyFill="1" applyAlignment="1" applyProtection="1">
      <alignment vertical="center" wrapText="1"/>
      <protection hidden="1"/>
    </xf>
    <xf numFmtId="0" fontId="8" fillId="3" borderId="151" xfId="0" applyFont="1" applyFill="1" applyBorder="1" applyAlignment="1" applyProtection="1">
      <alignment horizontal="right" vertical="center"/>
      <protection hidden="1"/>
    </xf>
    <xf numFmtId="0" fontId="1" fillId="4" borderId="2" xfId="0" applyFont="1" applyFill="1" applyBorder="1" applyAlignment="1" applyProtection="1">
      <alignment vertical="center" wrapText="1"/>
      <protection locked="0" hidden="1"/>
    </xf>
    <xf numFmtId="0" fontId="8" fillId="3" borderId="103" xfId="0" applyFont="1" applyFill="1" applyBorder="1" applyAlignment="1" applyProtection="1">
      <alignment horizontal="right" vertical="center"/>
      <protection hidden="1"/>
    </xf>
    <xf numFmtId="0" fontId="8" fillId="3" borderId="152" xfId="0" applyFont="1" applyFill="1" applyBorder="1" applyAlignment="1" applyProtection="1">
      <alignment horizontal="right" vertical="center"/>
      <protection hidden="1"/>
    </xf>
    <xf numFmtId="0" fontId="8" fillId="3" borderId="104" xfId="0" applyFont="1" applyFill="1" applyBorder="1" applyAlignment="1" applyProtection="1">
      <alignment horizontal="right" vertical="center"/>
      <protection hidden="1"/>
    </xf>
    <xf numFmtId="0" fontId="1" fillId="0" borderId="2" xfId="0" applyFont="1" applyFill="1" applyBorder="1" applyAlignment="1" applyProtection="1">
      <alignment vertical="center" wrapText="1"/>
      <protection locked="0" hidden="1"/>
    </xf>
    <xf numFmtId="0" fontId="10" fillId="0" borderId="2" xfId="0" applyFont="1" applyFill="1" applyBorder="1" applyAlignment="1" applyProtection="1">
      <alignment vertical="center" wrapText="1"/>
      <protection locked="0" hidden="1"/>
    </xf>
    <xf numFmtId="0" fontId="8" fillId="3" borderId="173" xfId="0" applyFont="1" applyFill="1" applyBorder="1" applyAlignment="1" applyProtection="1">
      <alignment horizontal="right" vertical="center"/>
      <protection hidden="1"/>
    </xf>
    <xf numFmtId="0" fontId="8" fillId="3" borderId="115" xfId="0" applyFont="1" applyFill="1" applyBorder="1" applyAlignment="1" applyProtection="1">
      <alignment horizontal="right" vertical="center"/>
      <protection hidden="1"/>
    </xf>
    <xf numFmtId="0" fontId="0" fillId="2" borderId="6" xfId="0" applyFill="1" applyBorder="1" applyProtection="1">
      <protection hidden="1"/>
    </xf>
    <xf numFmtId="0" fontId="8" fillId="3" borderId="9" xfId="0" applyFont="1" applyFill="1" applyBorder="1" applyAlignment="1" applyProtection="1">
      <alignment horizontal="right" vertical="center"/>
      <protection hidden="1"/>
    </xf>
    <xf numFmtId="0" fontId="8" fillId="3" borderId="174" xfId="0" applyFont="1" applyFill="1" applyBorder="1" applyAlignment="1" applyProtection="1">
      <alignment horizontal="right" vertical="top"/>
      <protection hidden="1"/>
    </xf>
    <xf numFmtId="0" fontId="9" fillId="3" borderId="15" xfId="0" applyFont="1" applyFill="1" applyBorder="1" applyAlignment="1" applyProtection="1">
      <alignment horizontal="right" vertical="top"/>
      <protection hidden="1"/>
    </xf>
    <xf numFmtId="0" fontId="1" fillId="0" borderId="15" xfId="0" applyFont="1" applyFill="1" applyBorder="1" applyAlignment="1" applyProtection="1">
      <alignment vertical="center" wrapText="1"/>
      <protection locked="0" hidden="1"/>
    </xf>
    <xf numFmtId="0" fontId="0" fillId="0" borderId="6" xfId="0" applyBorder="1" applyProtection="1">
      <protection hidden="1"/>
    </xf>
    <xf numFmtId="0" fontId="0" fillId="0" borderId="0" xfId="0" applyFill="1" applyProtection="1">
      <protection locked="0" hidden="1"/>
    </xf>
    <xf numFmtId="0" fontId="9" fillId="3" borderId="15" xfId="0" applyFont="1" applyFill="1" applyBorder="1" applyAlignment="1" applyProtection="1">
      <alignment horizontal="left" vertical="center" wrapText="1"/>
      <protection hidden="1"/>
    </xf>
    <xf numFmtId="0" fontId="9" fillId="3" borderId="140" xfId="0" applyFont="1" applyFill="1" applyBorder="1" applyAlignment="1" applyProtection="1">
      <alignment horizontal="right" vertical="top"/>
      <protection hidden="1"/>
    </xf>
    <xf numFmtId="0" fontId="8" fillId="3" borderId="151" xfId="0" applyFont="1" applyFill="1" applyBorder="1" applyAlignment="1" applyProtection="1">
      <alignment horizontal="right" vertical="top"/>
      <protection hidden="1"/>
    </xf>
    <xf numFmtId="0" fontId="8" fillId="3" borderId="104" xfId="0" applyFont="1" applyFill="1" applyBorder="1" applyAlignment="1" applyProtection="1">
      <alignment horizontal="right" wrapText="1"/>
      <protection hidden="1"/>
    </xf>
    <xf numFmtId="0" fontId="8" fillId="3" borderId="152" xfId="0" applyFont="1" applyFill="1" applyBorder="1" applyAlignment="1" applyProtection="1">
      <alignment horizontal="right" vertical="top"/>
      <protection hidden="1"/>
    </xf>
    <xf numFmtId="0" fontId="8" fillId="3" borderId="104" xfId="0" applyFont="1" applyFill="1" applyBorder="1" applyAlignment="1" applyProtection="1">
      <alignment horizontal="right" vertical="center" wrapText="1"/>
      <protection hidden="1"/>
    </xf>
    <xf numFmtId="0" fontId="0" fillId="8" borderId="2" xfId="0" applyFont="1" applyFill="1" applyBorder="1" applyProtection="1">
      <protection hidden="1"/>
    </xf>
    <xf numFmtId="0" fontId="0" fillId="2" borderId="11" xfId="0" applyFill="1" applyBorder="1" applyProtection="1">
      <protection hidden="1"/>
    </xf>
    <xf numFmtId="0" fontId="8" fillId="3" borderId="103" xfId="0" applyFont="1" applyFill="1" applyBorder="1" applyAlignment="1" applyProtection="1">
      <alignment horizontal="right" wrapText="1"/>
      <protection hidden="1"/>
    </xf>
    <xf numFmtId="0" fontId="1" fillId="0" borderId="2" xfId="0" applyFont="1" applyFill="1" applyBorder="1" applyAlignment="1" applyProtection="1">
      <alignment vertical="center" wrapText="1"/>
      <protection hidden="1"/>
    </xf>
    <xf numFmtId="0" fontId="8" fillId="3" borderId="173" xfId="0" applyFont="1" applyFill="1" applyBorder="1" applyAlignment="1" applyProtection="1">
      <alignment horizontal="right" vertical="top"/>
      <protection hidden="1"/>
    </xf>
    <xf numFmtId="0" fontId="8" fillId="3" borderId="115" xfId="0" applyFont="1" applyFill="1" applyBorder="1" applyAlignment="1" applyProtection="1">
      <alignment horizontal="right" vertical="center" wrapText="1"/>
      <protection hidden="1"/>
    </xf>
    <xf numFmtId="0" fontId="28" fillId="4" borderId="0" xfId="0" applyFont="1" applyFill="1" applyBorder="1" applyAlignment="1" applyProtection="1">
      <alignment horizontal="left"/>
      <protection hidden="1"/>
    </xf>
    <xf numFmtId="0" fontId="0" fillId="2" borderId="1" xfId="0" applyFont="1" applyFill="1" applyBorder="1" applyProtection="1">
      <protection hidden="1"/>
    </xf>
    <xf numFmtId="0" fontId="54" fillId="2" borderId="1" xfId="0" applyFont="1" applyFill="1" applyBorder="1" applyAlignment="1" applyProtection="1">
      <alignment horizontal="right"/>
      <protection hidden="1"/>
    </xf>
    <xf numFmtId="0" fontId="40" fillId="4" borderId="0" xfId="0" applyFont="1" applyFill="1" applyBorder="1" applyAlignment="1" applyProtection="1">
      <alignment horizontal="left" vertical="top" wrapText="1"/>
      <protection hidden="1"/>
    </xf>
    <xf numFmtId="0" fontId="0" fillId="0" borderId="0" xfId="0" applyFont="1" applyAlignment="1" applyProtection="1">
      <alignment horizontal="right"/>
      <protection hidden="1"/>
    </xf>
    <xf numFmtId="0" fontId="0" fillId="2" borderId="0" xfId="0" applyFont="1" applyFill="1" applyProtection="1">
      <protection locked="0" hidden="1"/>
    </xf>
    <xf numFmtId="0" fontId="10" fillId="2" borderId="0" xfId="0" applyFont="1" applyFill="1" applyProtection="1">
      <protection locked="0" hidden="1"/>
    </xf>
    <xf numFmtId="0" fontId="38" fillId="2" borderId="0" xfId="0" applyFont="1" applyFill="1" applyProtection="1">
      <protection locked="0" hidden="1"/>
    </xf>
    <xf numFmtId="0" fontId="0" fillId="2" borderId="0" xfId="0" applyFont="1" applyFill="1" applyAlignment="1" applyProtection="1">
      <alignment horizontal="right"/>
      <protection hidden="1"/>
    </xf>
    <xf numFmtId="0" fontId="10" fillId="2" borderId="0" xfId="0" applyFont="1" applyFill="1" applyAlignment="1" applyProtection="1">
      <alignment vertical="top" wrapText="1"/>
      <protection locked="0" hidden="1"/>
    </xf>
    <xf numFmtId="0" fontId="19" fillId="2" borderId="1" xfId="0" applyFont="1" applyFill="1" applyBorder="1" applyAlignment="1" applyProtection="1">
      <alignment vertical="top" wrapText="1"/>
      <protection hidden="1"/>
    </xf>
    <xf numFmtId="0" fontId="0" fillId="8" borderId="51" xfId="0" applyFill="1" applyBorder="1" applyProtection="1">
      <protection hidden="1"/>
    </xf>
    <xf numFmtId="0" fontId="0" fillId="7" borderId="54" xfId="0" applyFill="1" applyBorder="1" applyProtection="1">
      <protection hidden="1"/>
    </xf>
    <xf numFmtId="0" fontId="14" fillId="2" borderId="0" xfId="0" applyFont="1" applyFill="1" applyAlignment="1" applyProtection="1">
      <alignment vertical="top" wrapText="1"/>
      <protection hidden="1"/>
    </xf>
    <xf numFmtId="0" fontId="0" fillId="9" borderId="54" xfId="0" applyFill="1" applyBorder="1" applyProtection="1">
      <protection hidden="1"/>
    </xf>
    <xf numFmtId="0" fontId="55" fillId="2" borderId="1" xfId="0" applyFont="1" applyFill="1" applyBorder="1" applyAlignment="1" applyProtection="1">
      <alignment horizontal="right" vertical="top" wrapText="1"/>
      <protection hidden="1"/>
    </xf>
    <xf numFmtId="0" fontId="40" fillId="2" borderId="0" xfId="0" applyFont="1" applyFill="1" applyProtection="1">
      <protection hidden="1"/>
    </xf>
    <xf numFmtId="0" fontId="53" fillId="2" borderId="0" xfId="0" applyFont="1" applyFill="1" applyProtection="1">
      <protection hidden="1"/>
    </xf>
    <xf numFmtId="0" fontId="32" fillId="2" borderId="0" xfId="0" applyFont="1" applyFill="1" applyProtection="1">
      <protection hidden="1"/>
    </xf>
    <xf numFmtId="0" fontId="51" fillId="2" borderId="0" xfId="0" applyFont="1" applyFill="1" applyProtection="1">
      <protection hidden="1"/>
    </xf>
    <xf numFmtId="0" fontId="10" fillId="2" borderId="0" xfId="0" applyFont="1" applyFill="1" applyAlignment="1" applyProtection="1">
      <alignment horizontal="right" vertical="center"/>
      <protection hidden="1"/>
    </xf>
    <xf numFmtId="2" fontId="10" fillId="2" borderId="0" xfId="0" applyNumberFormat="1" applyFont="1" applyFill="1" applyAlignment="1" applyProtection="1">
      <alignment horizontal="left" vertical="top"/>
      <protection hidden="1"/>
    </xf>
    <xf numFmtId="14" fontId="10" fillId="2" borderId="0" xfId="0" applyNumberFormat="1" applyFont="1" applyFill="1" applyAlignment="1" applyProtection="1">
      <alignment horizontal="left"/>
      <protection hidden="1"/>
    </xf>
    <xf numFmtId="0" fontId="0" fillId="0" borderId="0" xfId="0" applyFont="1" applyProtection="1">
      <protection hidden="1"/>
    </xf>
    <xf numFmtId="0" fontId="10" fillId="4" borderId="0" xfId="0" applyFont="1" applyFill="1" applyBorder="1" applyAlignment="1" applyProtection="1">
      <alignment vertical="center" wrapText="1"/>
      <protection hidden="1"/>
    </xf>
    <xf numFmtId="0" fontId="80" fillId="0" borderId="0" xfId="0" applyFont="1" applyProtection="1">
      <protection hidden="1"/>
    </xf>
    <xf numFmtId="0" fontId="72" fillId="0" borderId="0" xfId="0" applyFont="1" applyProtection="1">
      <protection hidden="1"/>
    </xf>
    <xf numFmtId="0" fontId="72" fillId="0" borderId="1" xfId="0" applyFont="1" applyBorder="1" applyProtection="1">
      <protection hidden="1"/>
    </xf>
    <xf numFmtId="0" fontId="81" fillId="6" borderId="6" xfId="0" applyFont="1" applyFill="1" applyBorder="1" applyProtection="1">
      <protection hidden="1"/>
    </xf>
    <xf numFmtId="0" fontId="82" fillId="6" borderId="6" xfId="0" applyFont="1" applyFill="1" applyBorder="1" applyProtection="1">
      <protection locked="0" hidden="1"/>
    </xf>
    <xf numFmtId="0" fontId="71" fillId="6" borderId="6" xfId="0" applyFont="1" applyFill="1" applyBorder="1" applyProtection="1">
      <protection hidden="1"/>
    </xf>
    <xf numFmtId="0" fontId="71" fillId="6" borderId="7" xfId="0" applyFont="1" applyFill="1" applyBorder="1" applyProtection="1">
      <protection hidden="1"/>
    </xf>
    <xf numFmtId="0" fontId="71" fillId="0" borderId="0" xfId="0" applyFont="1" applyAlignment="1" applyProtection="1">
      <alignment horizontal="right"/>
      <protection hidden="1"/>
    </xf>
    <xf numFmtId="0" fontId="71" fillId="0" borderId="0" xfId="0" applyFont="1" applyProtection="1">
      <protection hidden="1"/>
    </xf>
    <xf numFmtId="0" fontId="71" fillId="0" borderId="122" xfId="0" applyFont="1" applyBorder="1" applyAlignment="1" applyProtection="1">
      <alignment horizontal="right"/>
      <protection hidden="1"/>
    </xf>
    <xf numFmtId="0" fontId="71" fillId="0" borderId="0" xfId="0" applyFont="1" applyAlignment="1" applyProtection="1">
      <protection hidden="1"/>
    </xf>
    <xf numFmtId="0" fontId="71" fillId="0" borderId="1" xfId="0" applyFont="1" applyBorder="1" applyAlignment="1" applyProtection="1">
      <alignment horizontal="right"/>
      <protection hidden="1"/>
    </xf>
    <xf numFmtId="0" fontId="89" fillId="0" borderId="0" xfId="0" applyFont="1" applyProtection="1">
      <protection hidden="1"/>
    </xf>
    <xf numFmtId="0" fontId="91" fillId="6" borderId="6" xfId="0" applyFont="1" applyFill="1" applyBorder="1" applyProtection="1">
      <protection hidden="1"/>
    </xf>
    <xf numFmtId="0" fontId="92" fillId="0" borderId="0" xfId="0" applyFont="1" applyFill="1" applyBorder="1" applyAlignment="1" applyProtection="1">
      <alignment horizontal="left" vertical="center"/>
      <protection hidden="1"/>
    </xf>
    <xf numFmtId="0" fontId="88" fillId="0" borderId="0" xfId="0" applyFont="1" applyFill="1" applyBorder="1" applyAlignment="1" applyProtection="1">
      <alignment horizontal="left" vertical="center"/>
      <protection hidden="1"/>
    </xf>
    <xf numFmtId="0" fontId="92" fillId="0" borderId="0" xfId="0" applyFont="1" applyFill="1" applyBorder="1" applyAlignment="1" applyProtection="1">
      <alignment horizontal="left" vertical="center" wrapText="1"/>
      <protection hidden="1"/>
    </xf>
    <xf numFmtId="9" fontId="72" fillId="0" borderId="0" xfId="0" applyNumberFormat="1" applyFont="1" applyProtection="1">
      <protection hidden="1"/>
    </xf>
    <xf numFmtId="0" fontId="71" fillId="0" borderId="122" xfId="0" applyFont="1" applyFill="1" applyBorder="1" applyAlignment="1" applyProtection="1">
      <alignment horizontal="right"/>
      <protection hidden="1"/>
    </xf>
    <xf numFmtId="0" fontId="71" fillId="0" borderId="1" xfId="0" applyFont="1" applyFill="1" applyBorder="1" applyAlignment="1" applyProtection="1">
      <alignment horizontal="right"/>
      <protection hidden="1"/>
    </xf>
    <xf numFmtId="0" fontId="71" fillId="0" borderId="0" xfId="0" applyFont="1" applyBorder="1" applyAlignment="1" applyProtection="1">
      <alignment horizontal="right"/>
      <protection hidden="1"/>
    </xf>
    <xf numFmtId="0" fontId="71" fillId="0" borderId="19" xfId="0" applyFont="1" applyBorder="1" applyAlignment="1" applyProtection="1">
      <alignment horizontal="right"/>
      <protection hidden="1"/>
    </xf>
    <xf numFmtId="0" fontId="0" fillId="0" borderId="1" xfId="0" applyBorder="1" applyProtection="1">
      <protection hidden="1"/>
    </xf>
    <xf numFmtId="0" fontId="23" fillId="3" borderId="6" xfId="0" applyFont="1" applyFill="1" applyBorder="1" applyAlignment="1" applyProtection="1">
      <alignment vertical="top"/>
      <protection hidden="1"/>
    </xf>
    <xf numFmtId="0" fontId="22" fillId="3" borderId="6" xfId="0" applyFont="1" applyFill="1" applyBorder="1" applyProtection="1">
      <protection hidden="1"/>
    </xf>
    <xf numFmtId="0" fontId="15" fillId="2" borderId="8" xfId="0" applyFont="1" applyFill="1" applyBorder="1" applyAlignment="1" applyProtection="1">
      <alignment horizontal="left" vertical="center"/>
      <protection hidden="1"/>
    </xf>
    <xf numFmtId="0" fontId="15" fillId="2" borderId="0" xfId="0" applyFont="1" applyFill="1" applyBorder="1" applyAlignment="1" applyProtection="1">
      <alignment horizontal="left" vertical="center" wrapText="1"/>
      <protection hidden="1"/>
    </xf>
    <xf numFmtId="0" fontId="0" fillId="2" borderId="12" xfId="0" applyFill="1" applyBorder="1" applyProtection="1">
      <protection hidden="1"/>
    </xf>
    <xf numFmtId="0" fontId="6" fillId="3" borderId="2" xfId="0" applyFont="1" applyFill="1" applyBorder="1" applyAlignment="1" applyProtection="1">
      <alignment horizontal="center"/>
      <protection hidden="1"/>
    </xf>
    <xf numFmtId="0" fontId="17" fillId="3" borderId="2" xfId="0" applyFont="1" applyFill="1" applyBorder="1" applyAlignment="1" applyProtection="1">
      <alignment horizontal="center"/>
      <protection hidden="1"/>
    </xf>
    <xf numFmtId="2" fontId="1" fillId="2" borderId="2" xfId="0" applyNumberFormat="1" applyFont="1" applyFill="1" applyBorder="1" applyAlignment="1" applyProtection="1">
      <alignment horizontal="center" vertical="center"/>
      <protection hidden="1"/>
    </xf>
    <xf numFmtId="14" fontId="1" fillId="2" borderId="2" xfId="0" applyNumberFormat="1" applyFont="1" applyFill="1" applyBorder="1" applyAlignment="1" applyProtection="1">
      <alignment horizontal="center" vertical="center"/>
      <protection hidden="1"/>
    </xf>
    <xf numFmtId="2" fontId="12" fillId="2" borderId="6" xfId="0" applyNumberFormat="1" applyFont="1" applyFill="1" applyBorder="1" applyAlignment="1" applyProtection="1">
      <alignment horizontal="center" vertical="center"/>
      <protection hidden="1"/>
    </xf>
    <xf numFmtId="0" fontId="12" fillId="2" borderId="6" xfId="0" applyFont="1" applyFill="1" applyBorder="1" applyProtection="1">
      <protection hidden="1"/>
    </xf>
    <xf numFmtId="0" fontId="12" fillId="2" borderId="6" xfId="0" applyFont="1" applyFill="1" applyBorder="1" applyAlignment="1" applyProtection="1">
      <alignment horizontal="center" vertical="top" wrapText="1"/>
      <protection hidden="1"/>
    </xf>
    <xf numFmtId="0" fontId="17" fillId="3" borderId="5" xfId="0" applyFont="1" applyFill="1" applyBorder="1" applyAlignment="1" applyProtection="1">
      <alignment horizontal="left" vertical="center"/>
      <protection hidden="1"/>
    </xf>
    <xf numFmtId="0" fontId="17" fillId="3" borderId="5" xfId="0" applyFont="1" applyFill="1" applyBorder="1" applyAlignment="1" applyProtection="1">
      <alignment horizontal="center"/>
      <protection hidden="1"/>
    </xf>
    <xf numFmtId="0" fontId="17" fillId="3" borderId="13" xfId="0" applyFont="1" applyFill="1" applyBorder="1" applyAlignment="1" applyProtection="1">
      <alignment horizontal="left"/>
      <protection hidden="1"/>
    </xf>
    <xf numFmtId="0" fontId="17" fillId="3" borderId="1" xfId="0" applyFont="1" applyFill="1" applyBorder="1" applyAlignment="1" applyProtection="1">
      <alignment horizontal="left"/>
      <protection hidden="1"/>
    </xf>
    <xf numFmtId="0" fontId="17" fillId="3" borderId="14" xfId="0" applyFont="1" applyFill="1" applyBorder="1" applyAlignment="1" applyProtection="1">
      <alignment horizontal="left"/>
      <protection hidden="1"/>
    </xf>
    <xf numFmtId="49" fontId="0" fillId="4" borderId="2" xfId="0" applyNumberFormat="1" applyFill="1" applyBorder="1" applyAlignment="1" applyProtection="1">
      <alignment horizontal="center" vertical="center"/>
      <protection hidden="1"/>
    </xf>
    <xf numFmtId="14" fontId="0" fillId="4" borderId="2" xfId="0" applyNumberFormat="1" applyFill="1" applyBorder="1" applyAlignment="1" applyProtection="1">
      <alignment horizontal="center" vertical="center"/>
      <protection hidden="1"/>
    </xf>
    <xf numFmtId="49" fontId="0" fillId="4" borderId="2" xfId="0" applyNumberFormat="1" applyFont="1" applyFill="1" applyBorder="1" applyAlignment="1" applyProtection="1">
      <alignment horizontal="center" vertical="center"/>
      <protection hidden="1"/>
    </xf>
    <xf numFmtId="14" fontId="0" fillId="4" borderId="2" xfId="0" applyNumberFormat="1" applyFont="1" applyFill="1" applyBorder="1" applyAlignment="1" applyProtection="1">
      <alignment horizontal="center" vertical="center"/>
      <protection hidden="1"/>
    </xf>
    <xf numFmtId="49" fontId="1" fillId="2" borderId="2" xfId="0" applyNumberFormat="1" applyFont="1" applyFill="1" applyBorder="1" applyAlignment="1" applyProtection="1">
      <alignment horizontal="center" vertical="center"/>
      <protection hidden="1"/>
    </xf>
    <xf numFmtId="0" fontId="72" fillId="17" borderId="2" xfId="0" applyFont="1" applyFill="1" applyBorder="1" applyProtection="1">
      <protection hidden="1"/>
    </xf>
    <xf numFmtId="0" fontId="0" fillId="0" borderId="55" xfId="0" applyFont="1" applyFill="1" applyBorder="1" applyProtection="1"/>
    <xf numFmtId="0" fontId="0" fillId="2" borderId="2" xfId="0" applyFont="1" applyFill="1" applyBorder="1" applyProtection="1">
      <protection hidden="1"/>
    </xf>
    <xf numFmtId="0" fontId="27" fillId="0" borderId="0" xfId="0" applyFont="1" applyFill="1" applyBorder="1" applyProtection="1"/>
    <xf numFmtId="0" fontId="27" fillId="0" borderId="55" xfId="0" applyFont="1" applyFill="1" applyBorder="1" applyProtection="1"/>
    <xf numFmtId="0" fontId="72" fillId="17" borderId="2" xfId="0" applyFont="1" applyFill="1" applyBorder="1" applyProtection="1"/>
    <xf numFmtId="0" fontId="1" fillId="4" borderId="2" xfId="0" applyFont="1" applyFill="1" applyBorder="1" applyAlignment="1" applyProtection="1">
      <alignment vertical="center" wrapText="1"/>
      <protection locked="0"/>
    </xf>
    <xf numFmtId="0" fontId="0" fillId="0" borderId="1" xfId="0" applyFill="1" applyBorder="1" applyProtection="1"/>
    <xf numFmtId="0" fontId="1" fillId="0" borderId="2" xfId="0" applyFont="1" applyFill="1" applyBorder="1" applyAlignment="1" applyProtection="1">
      <alignment vertical="center" wrapText="1"/>
      <protection locked="0"/>
    </xf>
    <xf numFmtId="0" fontId="1" fillId="0" borderId="3" xfId="0" applyFont="1" applyFill="1" applyBorder="1" applyAlignment="1" applyProtection="1">
      <alignment vertical="center" wrapText="1"/>
      <protection locked="0"/>
    </xf>
    <xf numFmtId="0" fontId="1" fillId="0" borderId="15" xfId="0" applyFont="1" applyFill="1" applyBorder="1" applyAlignment="1" applyProtection="1">
      <alignment vertical="center" wrapText="1"/>
      <protection locked="0"/>
    </xf>
    <xf numFmtId="0" fontId="1" fillId="0" borderId="15" xfId="0" applyFont="1" applyFill="1" applyBorder="1" applyAlignment="1" applyProtection="1">
      <alignment horizontal="left" vertical="center" wrapText="1"/>
      <protection locked="0"/>
    </xf>
    <xf numFmtId="0" fontId="1" fillId="0" borderId="5" xfId="0" applyFont="1" applyFill="1" applyBorder="1" applyAlignment="1" applyProtection="1">
      <alignment vertical="center" wrapText="1"/>
      <protection locked="0"/>
    </xf>
    <xf numFmtId="0" fontId="0" fillId="0" borderId="2" xfId="0" applyFont="1" applyFill="1" applyBorder="1" applyProtection="1">
      <protection locked="0"/>
    </xf>
    <xf numFmtId="0" fontId="0" fillId="2" borderId="2" xfId="0" applyFont="1" applyFill="1" applyBorder="1" applyProtection="1">
      <protection locked="0"/>
    </xf>
    <xf numFmtId="0" fontId="0" fillId="4" borderId="1" xfId="0" applyFill="1" applyBorder="1" applyProtection="1"/>
    <xf numFmtId="2" fontId="80" fillId="4" borderId="142" xfId="0" applyNumberFormat="1" applyFont="1" applyFill="1" applyBorder="1" applyAlignment="1" applyProtection="1">
      <alignment horizontal="center" vertical="center"/>
      <protection locked="0"/>
    </xf>
    <xf numFmtId="2" fontId="80" fillId="5" borderId="48" xfId="0" applyNumberFormat="1" applyFont="1" applyFill="1" applyBorder="1" applyAlignment="1" applyProtection="1">
      <alignment horizontal="center" vertical="center"/>
    </xf>
    <xf numFmtId="0" fontId="80" fillId="4" borderId="48" xfId="0" applyFont="1" applyFill="1" applyBorder="1" applyAlignment="1" applyProtection="1">
      <alignment horizontal="center" vertical="center"/>
      <protection locked="0"/>
    </xf>
    <xf numFmtId="0" fontId="80" fillId="4" borderId="129" xfId="0" applyFont="1" applyFill="1" applyBorder="1" applyAlignment="1" applyProtection="1">
      <alignment horizontal="center" vertical="center"/>
      <protection locked="0"/>
    </xf>
    <xf numFmtId="0" fontId="80" fillId="4" borderId="123" xfId="0" applyFont="1" applyFill="1" applyBorder="1" applyAlignment="1" applyProtection="1">
      <alignment horizontal="center" vertical="center"/>
      <protection locked="0"/>
    </xf>
    <xf numFmtId="0" fontId="80" fillId="5" borderId="48" xfId="0" applyFont="1" applyFill="1" applyBorder="1" applyAlignment="1" applyProtection="1">
      <alignment horizontal="center" vertical="center"/>
    </xf>
    <xf numFmtId="0" fontId="80" fillId="5" borderId="129" xfId="0" applyFont="1" applyFill="1" applyBorder="1" applyAlignment="1" applyProtection="1">
      <alignment horizontal="center" vertical="center"/>
    </xf>
    <xf numFmtId="2" fontId="80" fillId="5" borderId="129" xfId="0" applyNumberFormat="1" applyFont="1" applyFill="1" applyBorder="1" applyAlignment="1" applyProtection="1">
      <alignment horizontal="center" vertical="center"/>
    </xf>
    <xf numFmtId="9" fontId="80" fillId="4" borderId="121" xfId="0" applyNumberFormat="1" applyFont="1" applyFill="1" applyBorder="1" applyAlignment="1" applyProtection="1">
      <alignment horizontal="center" vertical="center"/>
      <protection locked="0"/>
    </xf>
    <xf numFmtId="0" fontId="80" fillId="4" borderId="142" xfId="0" applyFont="1" applyFill="1" applyBorder="1" applyAlignment="1" applyProtection="1">
      <alignment horizontal="center" vertical="center"/>
      <protection locked="0"/>
    </xf>
    <xf numFmtId="0" fontId="80" fillId="4" borderId="121" xfId="0" applyFont="1" applyFill="1" applyBorder="1" applyAlignment="1" applyProtection="1">
      <alignment horizontal="center" vertical="center"/>
      <protection locked="0"/>
    </xf>
    <xf numFmtId="0" fontId="80" fillId="4" borderId="46" xfId="0" applyFont="1" applyFill="1" applyBorder="1" applyAlignment="1" applyProtection="1">
      <alignment horizontal="center" vertical="center"/>
      <protection locked="0"/>
    </xf>
    <xf numFmtId="0" fontId="80" fillId="4" borderId="160" xfId="0" applyFont="1" applyFill="1" applyBorder="1" applyAlignment="1" applyProtection="1">
      <alignment horizontal="center" vertical="center"/>
      <protection locked="0"/>
    </xf>
    <xf numFmtId="0" fontId="0" fillId="2" borderId="0" xfId="0" applyFont="1" applyFill="1" applyProtection="1">
      <protection locked="0"/>
    </xf>
    <xf numFmtId="0" fontId="83" fillId="0" borderId="1" xfId="0" applyFont="1" applyFill="1" applyBorder="1" applyAlignment="1" applyProtection="1"/>
    <xf numFmtId="0" fontId="84" fillId="0" borderId="1" xfId="0" applyFont="1" applyFill="1" applyBorder="1" applyProtection="1"/>
    <xf numFmtId="0" fontId="77" fillId="0" borderId="1" xfId="0" applyFont="1" applyFill="1" applyBorder="1" applyProtection="1"/>
    <xf numFmtId="0" fontId="85" fillId="0" borderId="1" xfId="0" applyFont="1" applyFill="1" applyBorder="1" applyAlignment="1" applyProtection="1">
      <alignment horizontal="right"/>
    </xf>
    <xf numFmtId="0" fontId="76" fillId="3" borderId="140" xfId="0" applyFont="1" applyFill="1" applyBorder="1" applyAlignment="1" applyProtection="1">
      <alignment horizontal="right" vertical="center"/>
    </xf>
    <xf numFmtId="0" fontId="77" fillId="5" borderId="13" xfId="0" applyFont="1" applyFill="1" applyBorder="1" applyAlignment="1" applyProtection="1">
      <alignment horizontal="center" vertical="center"/>
    </xf>
    <xf numFmtId="0" fontId="76" fillId="3" borderId="43" xfId="0" applyFont="1" applyFill="1" applyBorder="1" applyAlignment="1" applyProtection="1">
      <alignment horizontal="right" vertical="center"/>
    </xf>
    <xf numFmtId="0" fontId="76" fillId="3" borderId="112" xfId="0" applyFont="1" applyFill="1" applyBorder="1" applyAlignment="1" applyProtection="1">
      <alignment horizontal="right" vertical="center"/>
    </xf>
    <xf numFmtId="10" fontId="77" fillId="5" borderId="5" xfId="2" applyNumberFormat="1" applyFont="1" applyFill="1" applyBorder="1" applyAlignment="1" applyProtection="1">
      <alignment horizontal="center" vertical="center"/>
    </xf>
    <xf numFmtId="0" fontId="76" fillId="3" borderId="5" xfId="0" applyFont="1" applyFill="1" applyBorder="1" applyAlignment="1" applyProtection="1">
      <alignment horizontal="right" vertical="center"/>
    </xf>
    <xf numFmtId="0" fontId="77" fillId="5" borderId="1" xfId="0" applyFont="1" applyFill="1" applyBorder="1" applyAlignment="1" applyProtection="1">
      <alignment horizontal="center" vertical="center"/>
    </xf>
    <xf numFmtId="0" fontId="76" fillId="3" borderId="1" xfId="0" applyFont="1" applyFill="1" applyBorder="1" applyAlignment="1" applyProtection="1">
      <alignment horizontal="right" vertical="center"/>
    </xf>
    <xf numFmtId="0" fontId="76" fillId="3" borderId="14" xfId="0" applyFont="1" applyFill="1" applyBorder="1" applyAlignment="1" applyProtection="1">
      <alignment horizontal="right" vertical="center"/>
    </xf>
    <xf numFmtId="0" fontId="77" fillId="5" borderId="5" xfId="0" applyFont="1" applyFill="1" applyBorder="1" applyAlignment="1" applyProtection="1">
      <alignment horizontal="center" vertical="center"/>
    </xf>
    <xf numFmtId="0" fontId="87" fillId="2" borderId="127" xfId="0" applyFont="1" applyFill="1" applyBorder="1" applyAlignment="1" applyProtection="1"/>
    <xf numFmtId="0" fontId="87" fillId="2" borderId="121" xfId="0" applyFont="1" applyFill="1" applyBorder="1" applyAlignment="1" applyProtection="1">
      <alignment horizontal="center"/>
    </xf>
    <xf numFmtId="0" fontId="72" fillId="5" borderId="124" xfId="0" applyFont="1" applyFill="1" applyBorder="1" applyAlignment="1" applyProtection="1">
      <alignment horizontal="right"/>
    </xf>
    <xf numFmtId="1" fontId="80" fillId="5" borderId="124" xfId="0" applyNumberFormat="1" applyFont="1" applyFill="1" applyBorder="1" applyAlignment="1" applyProtection="1">
      <alignment horizontal="center" vertical="center"/>
    </xf>
    <xf numFmtId="0" fontId="72" fillId="5" borderId="125" xfId="0" applyFont="1" applyFill="1" applyBorder="1" applyAlignment="1" applyProtection="1">
      <alignment horizontal="right"/>
    </xf>
    <xf numFmtId="1" fontId="80" fillId="5" borderId="125" xfId="0" applyNumberFormat="1" applyFont="1" applyFill="1" applyBorder="1" applyAlignment="1" applyProtection="1">
      <alignment horizontal="center" vertical="center"/>
    </xf>
    <xf numFmtId="0" fontId="72" fillId="5" borderId="126" xfId="0" applyFont="1" applyFill="1" applyBorder="1" applyAlignment="1" applyProtection="1">
      <alignment horizontal="right"/>
    </xf>
    <xf numFmtId="1" fontId="80" fillId="5" borderId="126" xfId="0" applyNumberFormat="1" applyFont="1" applyFill="1" applyBorder="1" applyAlignment="1" applyProtection="1">
      <alignment horizontal="center" vertical="center"/>
    </xf>
    <xf numFmtId="0" fontId="80" fillId="5" borderId="126" xfId="0" applyFont="1" applyFill="1" applyBorder="1" applyAlignment="1" applyProtection="1">
      <alignment horizontal="center"/>
    </xf>
    <xf numFmtId="0" fontId="72" fillId="0" borderId="130" xfId="0" applyFont="1" applyBorder="1" applyProtection="1"/>
    <xf numFmtId="0" fontId="76" fillId="3" borderId="103" xfId="0" applyFont="1" applyFill="1" applyBorder="1" applyAlignment="1" applyProtection="1">
      <alignment horizontal="right" vertical="center"/>
    </xf>
    <xf numFmtId="1" fontId="80" fillId="5" borderId="2" xfId="0" applyNumberFormat="1" applyFont="1" applyFill="1" applyBorder="1" applyAlignment="1" applyProtection="1">
      <alignment horizontal="center" vertical="center"/>
    </xf>
    <xf numFmtId="0" fontId="76" fillId="3" borderId="104" xfId="0" applyFont="1" applyFill="1" applyBorder="1" applyAlignment="1" applyProtection="1">
      <alignment horizontal="right" vertical="center"/>
    </xf>
    <xf numFmtId="10" fontId="80" fillId="5" borderId="2" xfId="0" applyNumberFormat="1" applyFont="1" applyFill="1" applyBorder="1" applyAlignment="1" applyProtection="1">
      <alignment horizontal="center" vertical="center"/>
    </xf>
    <xf numFmtId="0" fontId="76" fillId="3" borderId="128" xfId="0" applyFont="1" applyFill="1" applyBorder="1" applyAlignment="1" applyProtection="1">
      <alignment horizontal="right" vertical="center"/>
    </xf>
    <xf numFmtId="0" fontId="76" fillId="3" borderId="13" xfId="0" applyFont="1" applyFill="1" applyBorder="1" applyAlignment="1" applyProtection="1">
      <alignment horizontal="right" vertical="center"/>
    </xf>
    <xf numFmtId="164" fontId="80" fillId="5" borderId="13" xfId="0" applyNumberFormat="1" applyFont="1" applyFill="1" applyBorder="1" applyAlignment="1" applyProtection="1">
      <alignment horizontal="center" vertical="center"/>
    </xf>
    <xf numFmtId="0" fontId="77" fillId="5" borderId="6" xfId="0" applyFont="1" applyFill="1" applyBorder="1" applyAlignment="1" applyProtection="1">
      <alignment horizontal="left" vertical="center"/>
    </xf>
    <xf numFmtId="0" fontId="77" fillId="5" borderId="7" xfId="0" applyFont="1" applyFill="1" applyBorder="1" applyAlignment="1" applyProtection="1">
      <alignment horizontal="left" vertical="center"/>
    </xf>
    <xf numFmtId="0" fontId="87" fillId="2" borderId="0" xfId="0" applyFont="1" applyFill="1" applyAlignment="1" applyProtection="1">
      <alignment vertical="center"/>
    </xf>
    <xf numFmtId="0" fontId="77" fillId="2" borderId="0" xfId="0" applyFont="1" applyFill="1" applyAlignment="1" applyProtection="1">
      <alignment vertical="center"/>
    </xf>
    <xf numFmtId="0" fontId="77" fillId="2" borderId="0" xfId="0" applyFont="1" applyFill="1" applyAlignment="1" applyProtection="1">
      <alignment horizontal="right" vertical="center"/>
    </xf>
    <xf numFmtId="1" fontId="80" fillId="5" borderId="143" xfId="0" applyNumberFormat="1" applyFont="1" applyFill="1" applyBorder="1" applyAlignment="1" applyProtection="1">
      <alignment horizontal="center" vertical="center"/>
    </xf>
    <xf numFmtId="1" fontId="80" fillId="5" borderId="121" xfId="0" applyNumberFormat="1" applyFont="1" applyFill="1" applyBorder="1" applyAlignment="1" applyProtection="1">
      <alignment horizontal="center" vertical="center"/>
    </xf>
    <xf numFmtId="0" fontId="80" fillId="5" borderId="121" xfId="0" applyFont="1" applyFill="1" applyBorder="1" applyAlignment="1" applyProtection="1">
      <alignment horizontal="center"/>
    </xf>
    <xf numFmtId="0" fontId="72" fillId="5" borderId="142" xfId="0" applyFont="1" applyFill="1" applyBorder="1" applyAlignment="1" applyProtection="1">
      <alignment horizontal="right"/>
    </xf>
    <xf numFmtId="1" fontId="80" fillId="5" borderId="142" xfId="0" applyNumberFormat="1" applyFont="1" applyFill="1" applyBorder="1" applyAlignment="1" applyProtection="1">
      <alignment horizontal="center" vertical="center"/>
    </xf>
    <xf numFmtId="0" fontId="72" fillId="0" borderId="1" xfId="0" applyFont="1" applyBorder="1" applyProtection="1"/>
    <xf numFmtId="0" fontId="89" fillId="0" borderId="0" xfId="0" applyFont="1" applyProtection="1"/>
    <xf numFmtId="1" fontId="80" fillId="5" borderId="127" xfId="0" applyNumberFormat="1" applyFont="1" applyFill="1" applyBorder="1" applyAlignment="1" applyProtection="1">
      <alignment horizontal="center" vertical="center"/>
    </xf>
    <xf numFmtId="0" fontId="72" fillId="5" borderId="121" xfId="0" applyFont="1" applyFill="1" applyBorder="1" applyAlignment="1" applyProtection="1">
      <alignment horizontal="right"/>
    </xf>
    <xf numFmtId="0" fontId="90" fillId="0" borderId="0" xfId="0" applyFont="1" applyProtection="1"/>
    <xf numFmtId="164" fontId="80" fillId="5" borderId="13" xfId="0" applyNumberFormat="1" applyFont="1" applyFill="1" applyBorder="1" applyAlignment="1" applyProtection="1">
      <alignment horizontal="left" vertical="center"/>
    </xf>
    <xf numFmtId="0" fontId="72" fillId="5" borderId="141" xfId="0" applyFont="1" applyFill="1" applyBorder="1" applyAlignment="1" applyProtection="1">
      <alignment horizontal="right"/>
    </xf>
    <xf numFmtId="1" fontId="80" fillId="5" borderId="141" xfId="0" applyNumberFormat="1" applyFont="1" applyFill="1" applyBorder="1" applyAlignment="1" applyProtection="1">
      <alignment horizontal="center" vertical="center"/>
    </xf>
    <xf numFmtId="0" fontId="84" fillId="2" borderId="0" xfId="0" applyFont="1" applyFill="1" applyAlignment="1" applyProtection="1">
      <alignment vertical="center"/>
    </xf>
    <xf numFmtId="0" fontId="84" fillId="2" borderId="0" xfId="0" applyFont="1" applyFill="1" applyAlignment="1" applyProtection="1">
      <alignment horizontal="right" vertical="center"/>
    </xf>
    <xf numFmtId="0" fontId="71" fillId="6" borderId="6" xfId="0" applyFont="1" applyFill="1" applyBorder="1" applyProtection="1"/>
    <xf numFmtId="0" fontId="71" fillId="6" borderId="7" xfId="0" applyFont="1" applyFill="1" applyBorder="1" applyProtection="1"/>
    <xf numFmtId="0" fontId="77" fillId="2" borderId="0" xfId="0" applyFont="1" applyFill="1" applyProtection="1"/>
    <xf numFmtId="0" fontId="83" fillId="2" borderId="122" xfId="0" applyFont="1" applyFill="1" applyBorder="1" applyProtection="1"/>
    <xf numFmtId="0" fontId="84" fillId="2" borderId="122" xfId="0" applyFont="1" applyFill="1" applyBorder="1" applyProtection="1"/>
    <xf numFmtId="0" fontId="77" fillId="2" borderId="122" xfId="0" applyFont="1" applyFill="1" applyBorder="1" applyProtection="1"/>
    <xf numFmtId="0" fontId="72" fillId="5" borderId="47" xfId="0" applyFont="1" applyFill="1" applyBorder="1" applyAlignment="1" applyProtection="1">
      <alignment horizontal="right"/>
    </xf>
    <xf numFmtId="1" fontId="80" fillId="5" borderId="47" xfId="0" applyNumberFormat="1" applyFont="1" applyFill="1" applyBorder="1" applyAlignment="1" applyProtection="1">
      <alignment horizontal="center" vertical="center"/>
    </xf>
    <xf numFmtId="0" fontId="83" fillId="2" borderId="1" xfId="0" applyFont="1" applyFill="1" applyBorder="1" applyAlignment="1" applyProtection="1"/>
    <xf numFmtId="0" fontId="80" fillId="4" borderId="123" xfId="0" applyFont="1" applyFill="1" applyBorder="1" applyAlignment="1" applyProtection="1">
      <alignment horizontal="center" vertical="center" wrapText="1"/>
      <protection locked="0"/>
    </xf>
    <xf numFmtId="0" fontId="80" fillId="4" borderId="46" xfId="0" applyFont="1" applyFill="1" applyBorder="1" applyAlignment="1" applyProtection="1">
      <alignment horizontal="center" vertical="center" wrapText="1"/>
      <protection locked="0"/>
    </xf>
    <xf numFmtId="0" fontId="80" fillId="4" borderId="48" xfId="0" applyFont="1" applyFill="1" applyBorder="1" applyAlignment="1" applyProtection="1">
      <alignment horizontal="center" vertical="center" wrapText="1"/>
      <protection locked="0"/>
    </xf>
    <xf numFmtId="0" fontId="72" fillId="5" borderId="126" xfId="0" applyFont="1" applyFill="1" applyBorder="1" applyAlignment="1" applyProtection="1">
      <alignment horizontal="right" wrapText="1"/>
    </xf>
    <xf numFmtId="0" fontId="83" fillId="2" borderId="122" xfId="0" applyFont="1" applyFill="1" applyBorder="1" applyAlignment="1" applyProtection="1">
      <alignment horizontal="right"/>
    </xf>
    <xf numFmtId="0" fontId="78" fillId="0" borderId="0" xfId="0" applyFont="1" applyBorder="1" applyAlignment="1" applyProtection="1">
      <alignment horizontal="left" vertical="top" wrapText="1"/>
    </xf>
    <xf numFmtId="0" fontId="71" fillId="0" borderId="0" xfId="0" applyFont="1" applyAlignment="1" applyProtection="1">
      <alignment horizontal="right"/>
    </xf>
    <xf numFmtId="0" fontId="77" fillId="0" borderId="0" xfId="0" applyFont="1" applyFill="1" applyBorder="1" applyAlignment="1" applyProtection="1">
      <alignment horizontal="center" vertical="center"/>
    </xf>
    <xf numFmtId="9" fontId="80" fillId="4" borderId="129" xfId="0" applyNumberFormat="1" applyFont="1" applyFill="1" applyBorder="1" applyAlignment="1" applyProtection="1">
      <alignment horizontal="center" vertical="center"/>
      <protection locked="0"/>
    </xf>
    <xf numFmtId="0" fontId="72" fillId="5" borderId="127" xfId="0" applyFont="1" applyFill="1" applyBorder="1" applyAlignment="1" applyProtection="1">
      <alignment horizontal="right"/>
    </xf>
    <xf numFmtId="0" fontId="80" fillId="4" borderId="127" xfId="0" applyFont="1" applyFill="1" applyBorder="1" applyAlignment="1" applyProtection="1">
      <alignment horizontal="center" vertical="center"/>
      <protection locked="0"/>
    </xf>
    <xf numFmtId="0" fontId="76" fillId="0" borderId="0" xfId="0" applyFont="1" applyFill="1" applyAlignment="1" applyProtection="1">
      <alignment horizontal="right" vertical="top"/>
    </xf>
    <xf numFmtId="0" fontId="76" fillId="0" borderId="0" xfId="0" applyFont="1" applyFill="1" applyAlignment="1" applyProtection="1">
      <alignment horizontal="right" vertical="top" wrapText="1"/>
    </xf>
    <xf numFmtId="0" fontId="80" fillId="5" borderId="142" xfId="0" applyFont="1" applyFill="1" applyBorder="1" applyAlignment="1" applyProtection="1">
      <alignment horizontal="center" vertical="center"/>
    </xf>
    <xf numFmtId="0" fontId="87" fillId="2" borderId="121" xfId="0" applyFont="1" applyFill="1" applyBorder="1" applyAlignment="1" applyProtection="1">
      <alignment horizontal="center" wrapText="1"/>
    </xf>
    <xf numFmtId="0" fontId="72" fillId="0" borderId="0" xfId="0" applyFont="1" applyAlignment="1" applyProtection="1">
      <alignment horizontal="center"/>
    </xf>
    <xf numFmtId="0" fontId="89" fillId="0" borderId="0" xfId="0" applyFont="1" applyAlignment="1" applyProtection="1"/>
    <xf numFmtId="0" fontId="72" fillId="5" borderId="159" xfId="0" applyFont="1" applyFill="1" applyBorder="1" applyAlignment="1" applyProtection="1">
      <alignment horizontal="right"/>
    </xf>
    <xf numFmtId="2" fontId="77" fillId="2" borderId="2" xfId="0" applyNumberFormat="1" applyFont="1" applyFill="1" applyBorder="1" applyAlignment="1" applyProtection="1">
      <alignment horizontal="center" vertical="center"/>
      <protection locked="0"/>
    </xf>
    <xf numFmtId="0" fontId="80" fillId="4" borderId="143" xfId="0" applyFont="1" applyFill="1" applyBorder="1" applyAlignment="1" applyProtection="1">
      <alignment horizontal="center" vertical="center"/>
      <protection locked="0"/>
    </xf>
    <xf numFmtId="0" fontId="80" fillId="5" borderId="123" xfId="0" applyFont="1" applyFill="1" applyBorder="1" applyAlignment="1" applyProtection="1">
      <alignment horizontal="center" vertical="center"/>
    </xf>
    <xf numFmtId="0" fontId="77" fillId="2" borderId="142" xfId="0" applyFont="1" applyFill="1" applyBorder="1" applyAlignment="1" applyProtection="1">
      <alignment horizontal="left" vertical="center"/>
      <protection locked="0"/>
    </xf>
    <xf numFmtId="164" fontId="80" fillId="4" borderId="129" xfId="0" applyNumberFormat="1" applyFont="1" applyFill="1" applyBorder="1" applyAlignment="1" applyProtection="1">
      <alignment horizontal="center" vertical="center"/>
      <protection locked="0"/>
    </xf>
    <xf numFmtId="0" fontId="72" fillId="0" borderId="0" xfId="0" applyFont="1" applyFill="1" applyBorder="1" applyAlignment="1" applyProtection="1">
      <alignment horizontal="left"/>
    </xf>
    <xf numFmtId="0" fontId="89" fillId="0" borderId="0" xfId="0" applyFont="1" applyFill="1" applyBorder="1" applyAlignment="1" applyProtection="1">
      <alignment horizontal="left"/>
    </xf>
    <xf numFmtId="9" fontId="80" fillId="4" borderId="48" xfId="0" applyNumberFormat="1" applyFont="1" applyFill="1" applyBorder="1" applyAlignment="1" applyProtection="1">
      <alignment horizontal="center" vertical="center"/>
      <protection locked="0"/>
    </xf>
    <xf numFmtId="0" fontId="87" fillId="2" borderId="127" xfId="0" applyFont="1" applyFill="1" applyBorder="1" applyAlignment="1" applyProtection="1">
      <alignment wrapText="1"/>
    </xf>
    <xf numFmtId="9" fontId="80" fillId="4" borderId="123" xfId="0" applyNumberFormat="1" applyFont="1" applyFill="1" applyBorder="1" applyAlignment="1" applyProtection="1">
      <alignment horizontal="center" vertical="center"/>
      <protection locked="0"/>
    </xf>
    <xf numFmtId="0" fontId="92" fillId="0" borderId="0" xfId="0" applyFont="1" applyFill="1" applyAlignment="1" applyProtection="1"/>
    <xf numFmtId="164" fontId="72" fillId="5" borderId="142" xfId="0" applyNumberFormat="1" applyFont="1" applyFill="1" applyBorder="1" applyAlignment="1" applyProtection="1">
      <alignment horizontal="center"/>
    </xf>
    <xf numFmtId="0" fontId="87" fillId="2" borderId="0" xfId="0" applyFont="1" applyFill="1" applyProtection="1"/>
    <xf numFmtId="0" fontId="80" fillId="4" borderId="142" xfId="0" applyFont="1" applyFill="1" applyBorder="1" applyAlignment="1" applyProtection="1">
      <alignment horizontal="left" vertical="center"/>
      <protection locked="0"/>
    </xf>
    <xf numFmtId="0" fontId="88" fillId="2" borderId="0" xfId="0" applyFont="1" applyFill="1" applyBorder="1" applyAlignment="1" applyProtection="1">
      <alignment horizontal="left" vertical="top"/>
    </xf>
    <xf numFmtId="0" fontId="94" fillId="2" borderId="0" xfId="0" applyFont="1" applyFill="1" applyBorder="1" applyAlignment="1" applyProtection="1">
      <alignment horizontal="left" vertical="top" wrapText="1"/>
    </xf>
    <xf numFmtId="0" fontId="95" fillId="2" borderId="0" xfId="0" applyFont="1" applyFill="1" applyBorder="1" applyAlignment="1" applyProtection="1">
      <alignment horizontal="left" vertical="top" wrapText="1"/>
    </xf>
    <xf numFmtId="0" fontId="76" fillId="0" borderId="0" xfId="0" applyFont="1" applyFill="1" applyBorder="1" applyProtection="1"/>
    <xf numFmtId="0" fontId="76" fillId="0" borderId="0" xfId="0" applyFont="1" applyFill="1" applyBorder="1" applyAlignment="1" applyProtection="1">
      <alignment vertical="center"/>
    </xf>
    <xf numFmtId="0" fontId="76" fillId="0" borderId="0" xfId="0" applyFont="1" applyFill="1" applyBorder="1" applyAlignment="1" applyProtection="1">
      <alignment horizontal="right" vertical="center"/>
    </xf>
    <xf numFmtId="0" fontId="83" fillId="0" borderId="122" xfId="0" applyFont="1" applyFill="1" applyBorder="1" applyProtection="1"/>
    <xf numFmtId="0" fontId="80" fillId="5" borderId="124" xfId="0" applyFont="1" applyFill="1" applyBorder="1" applyAlignment="1" applyProtection="1">
      <alignment horizontal="center" vertical="center"/>
    </xf>
    <xf numFmtId="0" fontId="80" fillId="5" borderId="121" xfId="0" applyFont="1" applyFill="1" applyBorder="1" applyAlignment="1" applyProtection="1">
      <alignment horizontal="center" vertical="center"/>
    </xf>
    <xf numFmtId="0" fontId="80" fillId="0" borderId="0" xfId="0" applyFont="1" applyFill="1" applyBorder="1" applyAlignment="1" applyProtection="1">
      <alignment horizontal="center"/>
    </xf>
    <xf numFmtId="1" fontId="80" fillId="5" borderId="150" xfId="0" applyNumberFormat="1" applyFont="1" applyFill="1" applyBorder="1" applyAlignment="1" applyProtection="1">
      <alignment horizontal="center" vertical="center"/>
    </xf>
    <xf numFmtId="0" fontId="71" fillId="4" borderId="0" xfId="0" applyFont="1" applyFill="1" applyBorder="1" applyAlignment="1" applyProtection="1">
      <alignment horizontal="right"/>
    </xf>
    <xf numFmtId="0" fontId="71" fillId="4" borderId="0" xfId="0" applyFont="1" applyFill="1" applyBorder="1" applyAlignment="1" applyProtection="1">
      <alignment horizontal="center" vertical="center"/>
    </xf>
    <xf numFmtId="1" fontId="71" fillId="4" borderId="0" xfId="0" applyNumberFormat="1" applyFont="1" applyFill="1" applyBorder="1" applyAlignment="1" applyProtection="1">
      <alignment horizontal="center" vertical="center"/>
    </xf>
    <xf numFmtId="0" fontId="71" fillId="4" borderId="0" xfId="0" applyFont="1" applyFill="1" applyBorder="1" applyAlignment="1" applyProtection="1">
      <alignment horizontal="center"/>
    </xf>
    <xf numFmtId="0" fontId="72" fillId="0" borderId="0" xfId="0" applyFont="1" applyAlignment="1" applyProtection="1">
      <alignment horizontal="left"/>
    </xf>
    <xf numFmtId="0" fontId="84" fillId="0" borderId="122" xfId="0" applyFont="1" applyFill="1" applyBorder="1" applyProtection="1"/>
    <xf numFmtId="0" fontId="77" fillId="0" borderId="122" xfId="0" applyFont="1" applyFill="1" applyBorder="1" applyProtection="1"/>
    <xf numFmtId="0" fontId="87" fillId="2" borderId="121" xfId="0" applyFont="1" applyFill="1" applyBorder="1" applyAlignment="1" applyProtection="1"/>
    <xf numFmtId="0" fontId="72" fillId="0" borderId="144" xfId="0" applyFont="1" applyBorder="1" applyProtection="1"/>
    <xf numFmtId="0" fontId="72" fillId="0" borderId="145" xfId="0" applyFont="1" applyBorder="1" applyProtection="1"/>
    <xf numFmtId="0" fontId="82" fillId="6" borderId="6" xfId="0" applyFont="1" applyFill="1" applyBorder="1" applyProtection="1"/>
    <xf numFmtId="0" fontId="84" fillId="2" borderId="1" xfId="0" applyFont="1" applyFill="1" applyBorder="1" applyProtection="1"/>
    <xf numFmtId="0" fontId="77" fillId="2" borderId="1" xfId="0" applyFont="1" applyFill="1" applyBorder="1" applyProtection="1"/>
    <xf numFmtId="0" fontId="80" fillId="5" borderId="125" xfId="0" applyFont="1" applyFill="1" applyBorder="1" applyAlignment="1" applyProtection="1">
      <alignment horizontal="center" vertical="center"/>
    </xf>
    <xf numFmtId="0" fontId="80" fillId="5" borderId="149" xfId="0" applyFont="1" applyFill="1" applyBorder="1" applyAlignment="1" applyProtection="1">
      <alignment horizontal="center" vertical="center"/>
    </xf>
    <xf numFmtId="0" fontId="77" fillId="2" borderId="19" xfId="0" applyFont="1" applyFill="1" applyBorder="1" applyAlignment="1" applyProtection="1">
      <alignment vertical="center"/>
    </xf>
    <xf numFmtId="0" fontId="0" fillId="17" borderId="0" xfId="0" applyFill="1" applyAlignment="1"/>
    <xf numFmtId="0" fontId="0" fillId="5" borderId="47" xfId="0" applyFont="1" applyFill="1" applyBorder="1" applyAlignment="1" applyProtection="1">
      <alignment horizontal="right"/>
    </xf>
    <xf numFmtId="0" fontId="97" fillId="0" borderId="0" xfId="0" applyFont="1" applyProtection="1"/>
    <xf numFmtId="0" fontId="97" fillId="0" borderId="0" xfId="0" applyFont="1"/>
    <xf numFmtId="0" fontId="98" fillId="3" borderId="9" xfId="0" applyFont="1" applyFill="1" applyBorder="1" applyAlignment="1" applyProtection="1">
      <alignment vertical="center"/>
    </xf>
    <xf numFmtId="0" fontId="98" fillId="3" borderId="11" xfId="0" applyFont="1" applyFill="1" applyBorder="1" applyAlignment="1" applyProtection="1">
      <alignment vertical="top"/>
    </xf>
    <xf numFmtId="0" fontId="99" fillId="3" borderId="11" xfId="0" applyFont="1" applyFill="1" applyBorder="1" applyProtection="1"/>
    <xf numFmtId="0" fontId="98" fillId="3" borderId="13" xfId="0" applyFont="1" applyFill="1" applyBorder="1" applyAlignment="1" applyProtection="1">
      <alignment vertical="center"/>
    </xf>
    <xf numFmtId="166" fontId="98" fillId="3" borderId="1" xfId="0" applyNumberFormat="1" applyFont="1" applyFill="1" applyBorder="1" applyAlignment="1" applyProtection="1">
      <alignment vertical="top"/>
    </xf>
    <xf numFmtId="14" fontId="98" fillId="3" borderId="1" xfId="0" applyNumberFormat="1" applyFont="1" applyFill="1" applyBorder="1" applyAlignment="1" applyProtection="1">
      <alignment vertical="top"/>
    </xf>
    <xf numFmtId="0" fontId="98" fillId="3" borderId="1" xfId="0" applyFont="1" applyFill="1" applyBorder="1" applyAlignment="1" applyProtection="1">
      <alignment vertical="top"/>
    </xf>
    <xf numFmtId="0" fontId="99" fillId="3" borderId="1" xfId="0" applyFont="1" applyFill="1" applyBorder="1" applyProtection="1"/>
    <xf numFmtId="0" fontId="99" fillId="3" borderId="14" xfId="0" applyFont="1" applyFill="1" applyBorder="1" applyProtection="1"/>
    <xf numFmtId="0" fontId="97" fillId="0" borderId="0" xfId="0" applyFont="1" applyBorder="1"/>
    <xf numFmtId="0" fontId="97" fillId="0" borderId="0" xfId="0" applyFont="1" applyBorder="1" applyProtection="1"/>
    <xf numFmtId="0" fontId="100" fillId="0" borderId="0" xfId="0" applyFont="1" applyBorder="1" applyProtection="1"/>
    <xf numFmtId="0" fontId="101" fillId="0" borderId="0" xfId="0" applyFont="1" applyBorder="1" applyAlignment="1" applyProtection="1">
      <alignment horizontal="center"/>
    </xf>
    <xf numFmtId="0" fontId="37" fillId="0" borderId="0" xfId="0" applyFont="1" applyBorder="1" applyProtection="1"/>
    <xf numFmtId="0" fontId="102" fillId="3" borderId="10" xfId="0" applyFont="1" applyFill="1" applyBorder="1" applyAlignment="1" applyProtection="1">
      <alignment horizontal="right" vertical="top"/>
    </xf>
    <xf numFmtId="0" fontId="36" fillId="3" borderId="7" xfId="0" applyFont="1" applyFill="1" applyBorder="1" applyAlignment="1" applyProtection="1">
      <alignment horizontal="right" vertical="top" wrapText="1"/>
      <protection hidden="1"/>
    </xf>
    <xf numFmtId="0" fontId="21" fillId="3" borderId="7" xfId="0" applyFont="1" applyFill="1" applyBorder="1" applyAlignment="1" applyProtection="1">
      <alignment horizontal="right" vertical="top" wrapText="1"/>
    </xf>
    <xf numFmtId="0" fontId="21" fillId="3" borderId="7" xfId="0" applyFont="1" applyFill="1" applyBorder="1" applyAlignment="1" applyProtection="1">
      <alignment horizontal="right" vertical="top"/>
      <protection hidden="1"/>
    </xf>
    <xf numFmtId="0" fontId="36" fillId="3" borderId="7" xfId="0" applyFont="1" applyFill="1" applyBorder="1" applyAlignment="1" applyProtection="1">
      <alignment horizontal="right" vertical="top" wrapText="1"/>
    </xf>
    <xf numFmtId="0" fontId="23" fillId="3" borderId="7" xfId="0" applyFont="1" applyFill="1" applyBorder="1" applyAlignment="1" applyProtection="1">
      <alignment horizontal="right" vertical="top"/>
      <protection hidden="1"/>
    </xf>
    <xf numFmtId="0" fontId="26" fillId="10" borderId="72" xfId="0" applyFont="1" applyFill="1" applyBorder="1" applyProtection="1"/>
    <xf numFmtId="0" fontId="72" fillId="0" borderId="13" xfId="0" applyFont="1" applyBorder="1" applyProtection="1"/>
    <xf numFmtId="0" fontId="73" fillId="0" borderId="4" xfId="0" applyFont="1" applyFill="1" applyBorder="1" applyProtection="1"/>
    <xf numFmtId="0" fontId="26" fillId="10" borderId="7" xfId="0" applyFont="1" applyFill="1" applyBorder="1" applyProtection="1"/>
    <xf numFmtId="0" fontId="26" fillId="10" borderId="3" xfId="0" applyFont="1" applyFill="1" applyBorder="1" applyProtection="1"/>
    <xf numFmtId="0" fontId="0" fillId="0" borderId="5" xfId="0" applyFont="1" applyBorder="1" applyProtection="1"/>
    <xf numFmtId="0" fontId="0" fillId="0" borderId="51" xfId="0" applyFont="1" applyBorder="1" applyProtection="1"/>
    <xf numFmtId="0" fontId="72" fillId="0" borderId="52" xfId="0" applyFont="1" applyBorder="1" applyProtection="1"/>
    <xf numFmtId="0" fontId="72" fillId="0" borderId="53" xfId="0" applyFont="1" applyBorder="1" applyProtection="1"/>
    <xf numFmtId="0" fontId="72" fillId="0" borderId="78" xfId="0" applyFont="1" applyBorder="1" applyProtection="1"/>
    <xf numFmtId="0" fontId="26" fillId="10" borderId="79" xfId="0" applyFont="1" applyFill="1" applyBorder="1" applyProtection="1"/>
    <xf numFmtId="0" fontId="72" fillId="0" borderId="73" xfId="0" applyFont="1" applyBorder="1" applyProtection="1"/>
    <xf numFmtId="0" fontId="0" fillId="0" borderId="54" xfId="0" applyFont="1" applyFill="1" applyBorder="1" applyProtection="1"/>
    <xf numFmtId="0" fontId="0" fillId="0" borderId="2" xfId="0" applyFont="1" applyFill="1" applyBorder="1" applyProtection="1"/>
    <xf numFmtId="0" fontId="26" fillId="17" borderId="0" xfId="0" applyFont="1" applyFill="1" applyBorder="1" applyProtection="1"/>
    <xf numFmtId="0" fontId="0" fillId="0" borderId="61" xfId="0" applyFont="1" applyBorder="1" applyProtection="1"/>
    <xf numFmtId="0" fontId="72" fillId="0" borderId="62" xfId="0" applyFont="1" applyBorder="1" applyProtection="1"/>
    <xf numFmtId="0" fontId="72" fillId="0" borderId="63" xfId="0" applyFont="1" applyBorder="1" applyProtection="1"/>
    <xf numFmtId="0" fontId="72" fillId="0" borderId="72" xfId="0" applyFont="1" applyBorder="1" applyProtection="1"/>
    <xf numFmtId="0" fontId="73" fillId="0" borderId="6" xfId="0" applyFont="1" applyFill="1" applyBorder="1" applyProtection="1"/>
    <xf numFmtId="9" fontId="0" fillId="0" borderId="2" xfId="0" applyNumberFormat="1" applyFont="1" applyBorder="1" applyProtection="1"/>
    <xf numFmtId="9" fontId="0" fillId="0" borderId="55" xfId="0" applyNumberFormat="1" applyFont="1" applyBorder="1" applyProtection="1"/>
    <xf numFmtId="0" fontId="0" fillId="0" borderId="0" xfId="0" applyFont="1" applyFill="1" applyBorder="1" applyProtection="1"/>
    <xf numFmtId="0" fontId="0" fillId="0" borderId="21" xfId="0" applyFont="1" applyBorder="1" applyAlignment="1" applyProtection="1"/>
    <xf numFmtId="0" fontId="0" fillId="0" borderId="22" xfId="0" applyFont="1" applyBorder="1" applyAlignment="1" applyProtection="1"/>
    <xf numFmtId="0" fontId="0" fillId="0" borderId="23" xfId="0" applyFont="1" applyBorder="1" applyAlignment="1" applyProtection="1"/>
    <xf numFmtId="0" fontId="0" fillId="0" borderId="4" xfId="0" applyFont="1" applyFill="1" applyBorder="1" applyProtection="1"/>
    <xf numFmtId="0" fontId="0" fillId="0" borderId="61" xfId="0" applyFont="1" applyFill="1" applyBorder="1" applyProtection="1"/>
    <xf numFmtId="0" fontId="0" fillId="0" borderId="62" xfId="0" applyFont="1" applyFill="1" applyBorder="1" applyProtection="1"/>
    <xf numFmtId="0" fontId="0" fillId="0" borderId="84" xfId="0" applyFont="1" applyFill="1" applyBorder="1" applyProtection="1"/>
    <xf numFmtId="0" fontId="72" fillId="0" borderId="61" xfId="0" applyFont="1" applyBorder="1" applyProtection="1"/>
    <xf numFmtId="0" fontId="0" fillId="8" borderId="0" xfId="0" applyFont="1" applyFill="1" applyBorder="1" applyProtection="1"/>
    <xf numFmtId="0" fontId="80" fillId="5" borderId="2" xfId="0" applyNumberFormat="1" applyFont="1" applyFill="1" applyBorder="1" applyAlignment="1" applyProtection="1">
      <alignment horizontal="center" vertical="center"/>
    </xf>
    <xf numFmtId="0" fontId="80" fillId="5" borderId="142" xfId="0" applyNumberFormat="1" applyFont="1" applyFill="1" applyBorder="1" applyAlignment="1" applyProtection="1">
      <alignment horizontal="center" vertical="center"/>
    </xf>
    <xf numFmtId="0" fontId="50" fillId="0" borderId="0" xfId="0" applyFont="1" applyAlignment="1" applyProtection="1"/>
    <xf numFmtId="0" fontId="0" fillId="17" borderId="0" xfId="0" applyFont="1" applyFill="1" applyBorder="1" applyProtection="1"/>
    <xf numFmtId="0" fontId="0" fillId="0" borderId="175" xfId="0" applyFont="1" applyFill="1" applyBorder="1" applyProtection="1"/>
    <xf numFmtId="0" fontId="0" fillId="0" borderId="62" xfId="0" applyFont="1" applyBorder="1" applyProtection="1"/>
    <xf numFmtId="0" fontId="80" fillId="5" borderId="145" xfId="0" applyNumberFormat="1" applyFont="1" applyFill="1" applyBorder="1" applyAlignment="1" applyProtection="1">
      <alignment horizontal="center" vertical="center"/>
    </xf>
    <xf numFmtId="0" fontId="50" fillId="0" borderId="0" xfId="0" applyFont="1"/>
    <xf numFmtId="0" fontId="31" fillId="4" borderId="46" xfId="0" applyFont="1" applyFill="1" applyBorder="1" applyAlignment="1" applyProtection="1">
      <alignment horizontal="center" vertical="center"/>
      <protection locked="0"/>
    </xf>
    <xf numFmtId="0" fontId="31" fillId="4" borderId="160" xfId="0" applyFont="1" applyFill="1" applyBorder="1" applyAlignment="1" applyProtection="1">
      <alignment horizontal="center" vertical="center"/>
      <protection locked="0"/>
    </xf>
    <xf numFmtId="0" fontId="72" fillId="0" borderId="0" xfId="0" applyFont="1" applyAlignment="1" applyProtection="1">
      <alignment horizontal="right"/>
    </xf>
    <xf numFmtId="0" fontId="80" fillId="5" borderId="141" xfId="0" applyNumberFormat="1" applyFont="1" applyFill="1" applyBorder="1" applyAlignment="1" applyProtection="1">
      <alignment horizontal="center" vertical="center"/>
    </xf>
    <xf numFmtId="0" fontId="80" fillId="5" borderId="124" xfId="0" applyNumberFormat="1" applyFont="1" applyFill="1" applyBorder="1" applyAlignment="1" applyProtection="1">
      <alignment horizontal="center" vertical="center"/>
    </xf>
    <xf numFmtId="0" fontId="80" fillId="5" borderId="125" xfId="0" applyNumberFormat="1" applyFont="1" applyFill="1" applyBorder="1" applyAlignment="1" applyProtection="1">
      <alignment horizontal="center" vertical="center"/>
    </xf>
    <xf numFmtId="0" fontId="80" fillId="5" borderId="143" xfId="0" applyNumberFormat="1" applyFont="1" applyFill="1" applyBorder="1" applyAlignment="1" applyProtection="1">
      <alignment horizontal="center" vertical="center"/>
    </xf>
    <xf numFmtId="0" fontId="80" fillId="5" borderId="127" xfId="0" applyNumberFormat="1" applyFont="1" applyFill="1" applyBorder="1" applyAlignment="1" applyProtection="1">
      <alignment horizontal="center" vertical="center"/>
    </xf>
    <xf numFmtId="0" fontId="80" fillId="5" borderId="126" xfId="0" applyNumberFormat="1" applyFont="1" applyFill="1" applyBorder="1" applyAlignment="1" applyProtection="1">
      <alignment horizontal="center" vertical="center"/>
    </xf>
    <xf numFmtId="0" fontId="80" fillId="5" borderId="47" xfId="0" applyNumberFormat="1" applyFont="1" applyFill="1" applyBorder="1" applyAlignment="1" applyProtection="1">
      <alignment horizontal="center" vertical="center"/>
    </xf>
    <xf numFmtId="1" fontId="80" fillId="4" borderId="123" xfId="0" applyNumberFormat="1" applyFont="1" applyFill="1" applyBorder="1" applyAlignment="1" applyProtection="1">
      <alignment horizontal="center" vertical="center"/>
      <protection locked="0"/>
    </xf>
    <xf numFmtId="166" fontId="80" fillId="4" borderId="121" xfId="0" applyNumberFormat="1" applyFont="1" applyFill="1" applyBorder="1" applyAlignment="1" applyProtection="1">
      <alignment horizontal="center" vertical="center"/>
      <protection locked="0"/>
    </xf>
    <xf numFmtId="166" fontId="80" fillId="4" borderId="48" xfId="0" applyNumberFormat="1" applyFont="1" applyFill="1" applyBorder="1" applyAlignment="1" applyProtection="1">
      <alignment horizontal="center" vertical="center"/>
      <protection locked="0"/>
    </xf>
    <xf numFmtId="166" fontId="0" fillId="5" borderId="25" xfId="0" applyNumberFormat="1" applyFont="1" applyFill="1" applyBorder="1" applyAlignment="1" applyProtection="1">
      <alignment horizontal="right"/>
    </xf>
    <xf numFmtId="166" fontId="0" fillId="5" borderId="24" xfId="0" applyNumberFormat="1" applyFont="1" applyFill="1" applyBorder="1" applyAlignment="1" applyProtection="1">
      <alignment horizontal="right"/>
    </xf>
    <xf numFmtId="166" fontId="0" fillId="4" borderId="0" xfId="0" applyNumberFormat="1" applyFill="1" applyAlignment="1">
      <alignment horizontal="right"/>
    </xf>
    <xf numFmtId="166" fontId="26" fillId="6" borderId="6" xfId="0" applyNumberFormat="1" applyFont="1" applyFill="1" applyBorder="1" applyAlignment="1" applyProtection="1">
      <alignment horizontal="right"/>
    </xf>
    <xf numFmtId="166" fontId="0" fillId="5" borderId="26" xfId="0" applyNumberFormat="1" applyFont="1" applyFill="1" applyBorder="1" applyAlignment="1" applyProtection="1">
      <alignment horizontal="right"/>
    </xf>
    <xf numFmtId="166" fontId="0" fillId="4" borderId="0" xfId="0" applyNumberFormat="1" applyFill="1"/>
    <xf numFmtId="166" fontId="26" fillId="6" borderId="6" xfId="0" applyNumberFormat="1" applyFont="1" applyFill="1" applyBorder="1" applyProtection="1"/>
    <xf numFmtId="166" fontId="0" fillId="4" borderId="0" xfId="0" applyNumberFormat="1" applyFill="1" applyProtection="1"/>
    <xf numFmtId="0" fontId="34" fillId="2" borderId="114" xfId="0" applyFont="1" applyFill="1" applyBorder="1" applyAlignment="1" applyProtection="1">
      <alignment horizontal="left" vertical="center" wrapText="1"/>
    </xf>
    <xf numFmtId="0" fontId="34" fillId="2" borderId="99" xfId="0" applyFont="1" applyFill="1" applyBorder="1" applyAlignment="1" applyProtection="1">
      <alignment horizontal="right" vertical="center" wrapText="1"/>
    </xf>
    <xf numFmtId="0" fontId="34" fillId="2" borderId="99" xfId="0" applyFont="1" applyFill="1" applyBorder="1" applyAlignment="1" applyProtection="1">
      <alignment horizontal="left" vertical="center" wrapText="1"/>
    </xf>
    <xf numFmtId="0" fontId="34" fillId="2" borderId="0" xfId="0" applyFont="1" applyFill="1" applyBorder="1" applyAlignment="1" applyProtection="1">
      <alignment horizontal="right" vertical="center" wrapText="1"/>
    </xf>
    <xf numFmtId="0" fontId="34" fillId="2" borderId="155" xfId="0" applyFont="1" applyFill="1" applyBorder="1" applyAlignment="1" applyProtection="1">
      <alignment horizontal="left" vertical="center" wrapText="1"/>
    </xf>
    <xf numFmtId="0" fontId="34" fillId="2" borderId="113" xfId="0" applyFont="1" applyFill="1" applyBorder="1" applyAlignment="1" applyProtection="1">
      <alignment horizontal="left" vertical="center" wrapText="1"/>
    </xf>
    <xf numFmtId="0" fontId="34" fillId="2" borderId="154" xfId="0" applyFont="1" applyFill="1" applyBorder="1" applyAlignment="1" applyProtection="1">
      <alignment horizontal="left" vertical="center" wrapText="1"/>
    </xf>
    <xf numFmtId="166" fontId="0" fillId="5" borderId="27" xfId="0" applyNumberFormat="1" applyFont="1" applyFill="1" applyBorder="1" applyAlignment="1" applyProtection="1">
      <alignment horizontal="right"/>
    </xf>
    <xf numFmtId="0" fontId="34" fillId="2" borderId="176" xfId="0" applyFont="1" applyFill="1" applyBorder="1" applyAlignment="1" applyProtection="1">
      <alignment horizontal="left" vertical="center" wrapText="1"/>
    </xf>
    <xf numFmtId="0" fontId="44" fillId="2" borderId="1" xfId="0" applyFont="1" applyFill="1" applyBorder="1" applyAlignment="1" applyProtection="1">
      <alignment horizontal="left" wrapText="1"/>
      <protection hidden="1"/>
    </xf>
    <xf numFmtId="0" fontId="72" fillId="5" borderId="124" xfId="0" applyFont="1" applyFill="1" applyBorder="1" applyAlignment="1" applyProtection="1">
      <alignment horizontal="center" vertical="center"/>
      <protection locked="0"/>
    </xf>
    <xf numFmtId="0" fontId="80" fillId="5" borderId="125" xfId="0" applyFont="1" applyFill="1" applyBorder="1" applyAlignment="1" applyProtection="1">
      <alignment horizontal="center"/>
      <protection locked="0"/>
    </xf>
    <xf numFmtId="0" fontId="80" fillId="5" borderId="126" xfId="0" applyFont="1" applyFill="1" applyBorder="1" applyAlignment="1" applyProtection="1">
      <alignment horizontal="center"/>
      <protection locked="0"/>
    </xf>
    <xf numFmtId="0" fontId="72" fillId="5" borderId="143" xfId="0" applyFont="1" applyFill="1" applyBorder="1" applyAlignment="1" applyProtection="1">
      <alignment horizontal="center" vertical="center"/>
      <protection locked="0"/>
    </xf>
    <xf numFmtId="0" fontId="80" fillId="5" borderId="121" xfId="0" applyFont="1" applyFill="1" applyBorder="1" applyAlignment="1" applyProtection="1">
      <alignment horizontal="center"/>
      <protection locked="0"/>
    </xf>
    <xf numFmtId="0" fontId="72" fillId="5" borderId="142" xfId="0" applyFont="1" applyFill="1" applyBorder="1" applyAlignment="1" applyProtection="1">
      <alignment horizontal="center" vertical="center"/>
      <protection locked="0"/>
    </xf>
    <xf numFmtId="0" fontId="80" fillId="5" borderId="127" xfId="0" applyFont="1" applyFill="1" applyBorder="1" applyAlignment="1" applyProtection="1">
      <alignment horizontal="center"/>
      <protection locked="0"/>
    </xf>
    <xf numFmtId="0" fontId="31" fillId="5" borderId="127" xfId="0" applyFont="1" applyFill="1" applyBorder="1" applyAlignment="1" applyProtection="1">
      <alignment horizontal="center"/>
      <protection locked="0"/>
    </xf>
    <xf numFmtId="0" fontId="80" fillId="5" borderId="141" xfId="0" applyFont="1" applyFill="1" applyBorder="1" applyAlignment="1" applyProtection="1">
      <alignment horizontal="center"/>
      <protection locked="0"/>
    </xf>
    <xf numFmtId="0" fontId="80" fillId="5" borderId="47" xfId="0" applyFont="1" applyFill="1" applyBorder="1" applyAlignment="1" applyProtection="1">
      <alignment horizontal="center"/>
      <protection locked="0"/>
    </xf>
    <xf numFmtId="0" fontId="80" fillId="5" borderId="142" xfId="0" applyFont="1" applyFill="1" applyBorder="1" applyAlignment="1" applyProtection="1">
      <alignment horizontal="center"/>
      <protection locked="0"/>
    </xf>
    <xf numFmtId="0" fontId="80" fillId="5" borderId="143" xfId="0" applyFont="1" applyFill="1" applyBorder="1" applyAlignment="1" applyProtection="1">
      <alignment horizontal="center"/>
      <protection locked="0"/>
    </xf>
    <xf numFmtId="1" fontId="80" fillId="5" borderId="143" xfId="0" applyNumberFormat="1" applyFont="1" applyFill="1" applyBorder="1" applyAlignment="1" applyProtection="1">
      <alignment horizontal="center" vertical="center"/>
      <protection locked="0"/>
    </xf>
    <xf numFmtId="1" fontId="80" fillId="5" borderId="121" xfId="0" applyNumberFormat="1" applyFont="1" applyFill="1" applyBorder="1" applyAlignment="1" applyProtection="1">
      <alignment horizontal="center" vertical="center"/>
      <protection locked="0"/>
    </xf>
    <xf numFmtId="0" fontId="80" fillId="5" borderId="124" xfId="0" applyFont="1" applyFill="1" applyBorder="1" applyAlignment="1" applyProtection="1">
      <alignment horizontal="center"/>
      <protection locked="0"/>
    </xf>
    <xf numFmtId="1" fontId="80" fillId="5" borderId="125" xfId="0" applyNumberFormat="1" applyFont="1" applyFill="1" applyBorder="1" applyAlignment="1" applyProtection="1">
      <alignment horizontal="center" vertical="center"/>
      <protection locked="0"/>
    </xf>
    <xf numFmtId="0" fontId="31" fillId="5" borderId="142" xfId="0" applyFont="1" applyFill="1" applyBorder="1" applyAlignment="1" applyProtection="1">
      <alignment horizontal="center"/>
      <protection locked="0"/>
    </xf>
    <xf numFmtId="0" fontId="61" fillId="2" borderId="121" xfId="0" applyFont="1" applyFill="1" applyBorder="1" applyAlignment="1" applyProtection="1">
      <alignment horizontal="center"/>
    </xf>
    <xf numFmtId="0" fontId="61" fillId="2" borderId="0" xfId="0" applyFont="1" applyFill="1" applyAlignment="1" applyProtection="1">
      <alignment vertical="center"/>
    </xf>
    <xf numFmtId="0" fontId="8" fillId="3" borderId="104" xfId="0" applyFont="1" applyFill="1" applyBorder="1" applyAlignment="1" applyProtection="1">
      <alignment horizontal="right" vertical="center"/>
    </xf>
    <xf numFmtId="166" fontId="80" fillId="5" borderId="2" xfId="0" applyNumberFormat="1" applyFont="1" applyFill="1" applyBorder="1" applyAlignment="1" applyProtection="1">
      <alignment horizontal="center" vertical="center"/>
    </xf>
    <xf numFmtId="166" fontId="31" fillId="8" borderId="7" xfId="0" applyNumberFormat="1" applyFont="1" applyFill="1" applyBorder="1" applyAlignment="1" applyProtection="1">
      <alignment horizontal="center" vertical="center"/>
    </xf>
    <xf numFmtId="0" fontId="0" fillId="0" borderId="0" xfId="0" applyFont="1" applyBorder="1" applyAlignment="1" applyProtection="1">
      <alignment horizontal="left" vertical="top" wrapText="1"/>
    </xf>
    <xf numFmtId="0" fontId="97" fillId="0" borderId="0" xfId="0" applyFont="1" applyBorder="1" applyAlignment="1" applyProtection="1">
      <alignment horizontal="left" vertical="top"/>
    </xf>
    <xf numFmtId="0" fontId="10" fillId="4" borderId="38" xfId="0" applyFont="1" applyFill="1" applyBorder="1" applyAlignment="1" applyProtection="1">
      <alignment horizontal="center" vertical="top" wrapText="1"/>
    </xf>
    <xf numFmtId="0" fontId="10" fillId="4" borderId="0" xfId="0" applyFont="1" applyFill="1" applyAlignment="1" applyProtection="1">
      <alignment horizontal="center" vertical="top" wrapText="1"/>
    </xf>
    <xf numFmtId="0" fontId="52" fillId="2" borderId="49" xfId="0" applyFont="1" applyFill="1" applyBorder="1" applyAlignment="1" applyProtection="1">
      <alignment horizontal="center" wrapText="1"/>
    </xf>
    <xf numFmtId="0" fontId="52" fillId="2" borderId="1" xfId="0" applyFont="1" applyFill="1" applyBorder="1" applyAlignment="1" applyProtection="1">
      <alignment horizontal="center" wrapText="1"/>
    </xf>
    <xf numFmtId="0" fontId="52" fillId="2" borderId="39" xfId="0" applyFont="1" applyFill="1" applyBorder="1" applyAlignment="1" applyProtection="1">
      <alignment horizontal="center" wrapText="1"/>
    </xf>
    <xf numFmtId="0" fontId="40" fillId="2" borderId="0" xfId="0" applyFont="1" applyFill="1" applyAlignment="1" applyProtection="1">
      <alignment horizontal="left" vertical="top" wrapText="1"/>
      <protection hidden="1"/>
    </xf>
    <xf numFmtId="0" fontId="40" fillId="2" borderId="11" xfId="0" applyFont="1" applyFill="1" applyBorder="1" applyAlignment="1" applyProtection="1">
      <alignment horizontal="left" vertical="top" wrapText="1"/>
      <protection hidden="1"/>
    </xf>
    <xf numFmtId="0" fontId="40" fillId="4" borderId="0" xfId="0" applyFont="1" applyFill="1" applyBorder="1" applyAlignment="1" applyProtection="1">
      <alignment horizontal="left" vertical="top" wrapText="1"/>
      <protection hidden="1"/>
    </xf>
    <xf numFmtId="0" fontId="1" fillId="4" borderId="4" xfId="0" applyFont="1" applyFill="1" applyBorder="1" applyAlignment="1" applyProtection="1">
      <alignment horizontal="left" vertical="top" wrapText="1"/>
      <protection locked="0"/>
    </xf>
    <xf numFmtId="0" fontId="1" fillId="4" borderId="7" xfId="0" applyFont="1" applyFill="1" applyBorder="1" applyAlignment="1" applyProtection="1">
      <alignment horizontal="left" vertical="top" wrapText="1"/>
      <protection locked="0"/>
    </xf>
    <xf numFmtId="0" fontId="10" fillId="2" borderId="9" xfId="0" applyFont="1" applyFill="1" applyBorder="1" applyAlignment="1" applyProtection="1">
      <alignment horizontal="left" vertical="top"/>
      <protection locked="0"/>
    </xf>
    <xf numFmtId="0" fontId="78" fillId="2" borderId="11" xfId="0" applyFont="1" applyFill="1" applyBorder="1" applyAlignment="1" applyProtection="1">
      <alignment horizontal="left" vertical="top"/>
      <protection locked="0"/>
    </xf>
    <xf numFmtId="0" fontId="78" fillId="2" borderId="10" xfId="0" applyFont="1" applyFill="1" applyBorder="1" applyAlignment="1" applyProtection="1">
      <alignment horizontal="left" vertical="top"/>
      <protection locked="0"/>
    </xf>
    <xf numFmtId="0" fontId="78" fillId="2" borderId="8" xfId="0" applyFont="1" applyFill="1" applyBorder="1" applyAlignment="1" applyProtection="1">
      <alignment horizontal="left" vertical="top" wrapText="1"/>
      <protection locked="0"/>
    </xf>
    <xf numFmtId="0" fontId="78" fillId="2" borderId="0" xfId="0" applyFont="1" applyFill="1" applyBorder="1" applyAlignment="1" applyProtection="1">
      <alignment horizontal="left" vertical="top" wrapText="1"/>
      <protection locked="0"/>
    </xf>
    <xf numFmtId="0" fontId="78" fillId="2" borderId="12" xfId="0" applyFont="1" applyFill="1" applyBorder="1" applyAlignment="1" applyProtection="1">
      <alignment horizontal="left" vertical="top" wrapText="1"/>
      <protection locked="0"/>
    </xf>
    <xf numFmtId="0" fontId="10" fillId="2" borderId="8" xfId="0" applyFont="1" applyFill="1" applyBorder="1" applyAlignment="1" applyProtection="1">
      <alignment horizontal="left" vertical="top"/>
      <protection locked="0"/>
    </xf>
    <xf numFmtId="0" fontId="78" fillId="2" borderId="0" xfId="0" applyFont="1" applyFill="1" applyBorder="1" applyAlignment="1" applyProtection="1">
      <alignment horizontal="left" vertical="top"/>
      <protection locked="0"/>
    </xf>
    <xf numFmtId="0" fontId="78" fillId="2" borderId="12" xfId="0" applyFont="1" applyFill="1" applyBorder="1" applyAlignment="1" applyProtection="1">
      <alignment horizontal="left" vertical="top"/>
      <protection locked="0"/>
    </xf>
    <xf numFmtId="0" fontId="78" fillId="2" borderId="13" xfId="0" applyFont="1" applyFill="1" applyBorder="1" applyAlignment="1" applyProtection="1">
      <alignment horizontal="left" vertical="top"/>
      <protection locked="0"/>
    </xf>
    <xf numFmtId="0" fontId="78" fillId="2" borderId="1" xfId="0" applyFont="1" applyFill="1" applyBorder="1" applyAlignment="1" applyProtection="1">
      <alignment horizontal="left" vertical="top"/>
      <protection locked="0"/>
    </xf>
    <xf numFmtId="0" fontId="78" fillId="2" borderId="14" xfId="0" applyFont="1" applyFill="1" applyBorder="1" applyAlignment="1" applyProtection="1">
      <alignment horizontal="left" vertical="top"/>
      <protection locked="0"/>
    </xf>
    <xf numFmtId="0" fontId="78" fillId="2" borderId="9" xfId="0" applyFont="1" applyFill="1" applyBorder="1" applyAlignment="1" applyProtection="1">
      <alignment horizontal="left" vertical="top"/>
      <protection locked="0"/>
    </xf>
    <xf numFmtId="0" fontId="78" fillId="2" borderId="8" xfId="0" applyFont="1" applyFill="1" applyBorder="1" applyAlignment="1" applyProtection="1">
      <alignment horizontal="left" vertical="top"/>
      <protection locked="0"/>
    </xf>
    <xf numFmtId="0" fontId="0" fillId="0" borderId="54" xfId="0" applyBorder="1" applyAlignment="1" applyProtection="1">
      <alignment horizontal="center"/>
    </xf>
    <xf numFmtId="0" fontId="0" fillId="0" borderId="2" xfId="0" applyBorder="1" applyAlignment="1" applyProtection="1">
      <alignment horizontal="center"/>
    </xf>
    <xf numFmtId="0" fontId="0" fillId="0" borderId="55" xfId="0" applyBorder="1" applyAlignment="1" applyProtection="1">
      <alignment horizontal="center"/>
    </xf>
    <xf numFmtId="0" fontId="0" fillId="0" borderId="56" xfId="0" applyFont="1" applyBorder="1" applyAlignment="1" applyProtection="1">
      <alignment horizontal="center"/>
    </xf>
    <xf numFmtId="0" fontId="0" fillId="0" borderId="57" xfId="0" applyFont="1" applyBorder="1" applyAlignment="1" applyProtection="1">
      <alignment horizontal="center"/>
    </xf>
    <xf numFmtId="0" fontId="0" fillId="0" borderId="58" xfId="0" applyFont="1" applyBorder="1" applyAlignment="1" applyProtection="1">
      <alignment horizontal="center"/>
    </xf>
    <xf numFmtId="0" fontId="45" fillId="8" borderId="10" xfId="0" applyFont="1" applyFill="1" applyBorder="1" applyAlignment="1" applyProtection="1">
      <alignment horizontal="center"/>
    </xf>
    <xf numFmtId="0" fontId="45" fillId="8" borderId="3" xfId="0" applyFont="1" applyFill="1" applyBorder="1" applyAlignment="1" applyProtection="1">
      <alignment horizontal="center"/>
    </xf>
    <xf numFmtId="0" fontId="0" fillId="9" borderId="21" xfId="0" applyFill="1" applyBorder="1" applyAlignment="1" applyProtection="1">
      <alignment horizontal="center" vertical="center"/>
    </xf>
    <xf numFmtId="0" fontId="0" fillId="9" borderId="22" xfId="0" applyFill="1" applyBorder="1" applyAlignment="1" applyProtection="1">
      <alignment horizontal="center" vertical="center"/>
    </xf>
    <xf numFmtId="0" fontId="0" fillId="9" borderId="23" xfId="0" applyFill="1" applyBorder="1" applyAlignment="1" applyProtection="1">
      <alignment horizontal="center" vertical="center"/>
    </xf>
    <xf numFmtId="0" fontId="0" fillId="8" borderId="71" xfId="0" applyFill="1" applyBorder="1" applyAlignment="1" applyProtection="1">
      <alignment horizontal="center"/>
    </xf>
    <xf numFmtId="0" fontId="0" fillId="8" borderId="72" xfId="0" applyFill="1" applyBorder="1" applyAlignment="1" applyProtection="1">
      <alignment horizontal="center"/>
    </xf>
    <xf numFmtId="0" fontId="0" fillId="8" borderId="73" xfId="0" applyFill="1" applyBorder="1" applyAlignment="1" applyProtection="1">
      <alignment horizontal="center"/>
    </xf>
    <xf numFmtId="0" fontId="26" fillId="10" borderId="80" xfId="0" applyFont="1" applyFill="1" applyBorder="1" applyAlignment="1" applyProtection="1">
      <alignment horizontal="center" wrapText="1"/>
      <protection hidden="1"/>
    </xf>
    <xf numFmtId="0" fontId="26" fillId="10" borderId="52" xfId="0" applyFont="1" applyFill="1" applyBorder="1" applyAlignment="1" applyProtection="1">
      <alignment horizontal="center" wrapText="1"/>
      <protection hidden="1"/>
    </xf>
    <xf numFmtId="0" fontId="26" fillId="10" borderId="53" xfId="0" applyFont="1" applyFill="1" applyBorder="1" applyAlignment="1" applyProtection="1">
      <alignment horizontal="center" wrapText="1"/>
      <protection hidden="1"/>
    </xf>
    <xf numFmtId="0" fontId="26" fillId="10" borderId="21" xfId="0" applyFont="1" applyFill="1" applyBorder="1" applyAlignment="1" applyProtection="1">
      <alignment horizontal="center"/>
    </xf>
    <xf numFmtId="0" fontId="26" fillId="10" borderId="22" xfId="0" applyFont="1" applyFill="1" applyBorder="1" applyAlignment="1" applyProtection="1">
      <alignment horizontal="center"/>
    </xf>
    <xf numFmtId="0" fontId="26" fillId="10" borderId="51" xfId="0" applyFont="1" applyFill="1" applyBorder="1" applyAlignment="1" applyProtection="1">
      <alignment horizontal="center" wrapText="1"/>
      <protection hidden="1"/>
    </xf>
    <xf numFmtId="0" fontId="0" fillId="0" borderId="51" xfId="0" applyBorder="1" applyAlignment="1" applyProtection="1">
      <alignment horizontal="center"/>
    </xf>
    <xf numFmtId="0" fontId="0" fillId="0" borderId="52" xfId="0" applyBorder="1" applyAlignment="1" applyProtection="1">
      <alignment horizontal="center"/>
    </xf>
    <xf numFmtId="0" fontId="0" fillId="0" borderId="53" xfId="0" applyBorder="1" applyAlignment="1" applyProtection="1">
      <alignment horizontal="center"/>
    </xf>
    <xf numFmtId="0" fontId="66" fillId="0" borderId="164" xfId="0" applyFont="1" applyBorder="1" applyAlignment="1" applyProtection="1">
      <alignment horizontal="left" vertical="center"/>
      <protection locked="0"/>
    </xf>
    <xf numFmtId="0" fontId="66" fillId="0" borderId="166" xfId="0" applyFont="1" applyBorder="1" applyAlignment="1" applyProtection="1">
      <alignment horizontal="left" vertical="center"/>
      <protection locked="0"/>
    </xf>
    <xf numFmtId="0" fontId="66" fillId="0" borderId="167" xfId="0" applyFont="1" applyBorder="1" applyAlignment="1" applyProtection="1">
      <alignment horizontal="left" vertical="center"/>
      <protection locked="0"/>
    </xf>
    <xf numFmtId="0" fontId="34" fillId="2" borderId="154"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0" fillId="5" borderId="4" xfId="0" applyFont="1" applyFill="1" applyBorder="1" applyAlignment="1" applyProtection="1">
      <alignment horizontal="left" vertical="top" wrapText="1"/>
    </xf>
    <xf numFmtId="0" fontId="0" fillId="5" borderId="6" xfId="0" applyFont="1" applyFill="1" applyBorder="1" applyAlignment="1" applyProtection="1">
      <alignment horizontal="left" vertical="top" wrapText="1"/>
    </xf>
    <xf numFmtId="0" fontId="0" fillId="5" borderId="7" xfId="0" applyFont="1" applyFill="1" applyBorder="1" applyAlignment="1" applyProtection="1">
      <alignment horizontal="left" vertical="top" wrapText="1"/>
    </xf>
    <xf numFmtId="0" fontId="0" fillId="5" borderId="2" xfId="0" applyFont="1" applyFill="1" applyBorder="1" applyAlignment="1" applyProtection="1">
      <alignment horizontal="left" vertical="top" wrapText="1"/>
    </xf>
    <xf numFmtId="0" fontId="19" fillId="2" borderId="0" xfId="0" applyFont="1" applyFill="1" applyAlignment="1" applyProtection="1">
      <alignment horizontal="left" vertical="top" wrapText="1"/>
      <protection hidden="1"/>
    </xf>
    <xf numFmtId="0" fontId="0" fillId="5" borderId="26" xfId="0" applyFont="1" applyFill="1" applyBorder="1" applyAlignment="1" applyProtection="1">
      <alignment horizontal="left" wrapText="1"/>
    </xf>
    <xf numFmtId="0" fontId="0" fillId="5" borderId="27" xfId="0" applyFont="1" applyFill="1" applyBorder="1" applyAlignment="1" applyProtection="1">
      <alignment horizontal="left" wrapText="1"/>
    </xf>
    <xf numFmtId="0" fontId="0" fillId="5" borderId="28" xfId="0" applyFont="1" applyFill="1" applyBorder="1" applyAlignment="1" applyProtection="1">
      <alignment horizontal="left" wrapText="1"/>
    </xf>
    <xf numFmtId="0" fontId="63" fillId="4" borderId="0" xfId="0" applyFont="1" applyFill="1" applyBorder="1" applyAlignment="1" applyProtection="1">
      <alignment horizontal="center"/>
      <protection locked="0" hidden="1"/>
    </xf>
    <xf numFmtId="0" fontId="26" fillId="4" borderId="0" xfId="0" applyFont="1" applyFill="1" applyBorder="1"/>
    <xf numFmtId="0" fontId="26" fillId="4" borderId="0" xfId="0" applyFont="1" applyFill="1"/>
    <xf numFmtId="0" fontId="49" fillId="5" borderId="103" xfId="0" applyFont="1" applyFill="1" applyBorder="1" applyAlignment="1" applyProtection="1">
      <alignment horizontal="center"/>
      <protection hidden="1"/>
    </xf>
    <xf numFmtId="0" fontId="49" fillId="5" borderId="109" xfId="0" applyFont="1" applyFill="1" applyBorder="1" applyAlignment="1" applyProtection="1">
      <alignment horizontal="center"/>
      <protection hidden="1"/>
    </xf>
    <xf numFmtId="164" fontId="49" fillId="5" borderId="104" xfId="0" applyNumberFormat="1" applyFont="1" applyFill="1" applyBorder="1" applyAlignment="1" applyProtection="1">
      <alignment horizontal="center"/>
      <protection hidden="1"/>
    </xf>
    <xf numFmtId="164" fontId="49" fillId="5" borderId="107" xfId="0" applyNumberFormat="1" applyFont="1" applyFill="1" applyBorder="1" applyAlignment="1" applyProtection="1">
      <alignment horizontal="center"/>
      <protection hidden="1"/>
    </xf>
    <xf numFmtId="0" fontId="49" fillId="5" borderId="115" xfId="0" applyFont="1" applyFill="1" applyBorder="1" applyAlignment="1" applyProtection="1">
      <alignment horizontal="center"/>
      <protection hidden="1"/>
    </xf>
    <xf numFmtId="0" fontId="49" fillId="5" borderId="108" xfId="0" applyFont="1" applyFill="1" applyBorder="1" applyAlignment="1" applyProtection="1">
      <alignment horizontal="center"/>
      <protection hidden="1"/>
    </xf>
    <xf numFmtId="0" fontId="37" fillId="4" borderId="4" xfId="0" applyFont="1" applyFill="1" applyBorder="1" applyAlignment="1" applyProtection="1">
      <alignment horizontal="left" vertical="center" wrapText="1"/>
      <protection hidden="1"/>
    </xf>
    <xf numFmtId="0" fontId="37" fillId="4" borderId="6" xfId="0" applyFont="1" applyFill="1" applyBorder="1" applyAlignment="1" applyProtection="1">
      <alignment horizontal="left" vertical="center" wrapText="1"/>
      <protection hidden="1"/>
    </xf>
    <xf numFmtId="0" fontId="37" fillId="4" borderId="7" xfId="0" applyFont="1" applyFill="1" applyBorder="1" applyAlignment="1" applyProtection="1">
      <alignment horizontal="left" vertical="center" wrapText="1"/>
      <protection hidden="1"/>
    </xf>
    <xf numFmtId="0" fontId="0" fillId="4" borderId="2" xfId="0" applyFont="1" applyFill="1" applyBorder="1" applyAlignment="1" applyProtection="1">
      <alignment horizontal="left" vertical="center" wrapText="1"/>
      <protection hidden="1"/>
    </xf>
    <xf numFmtId="0" fontId="0" fillId="4" borderId="2" xfId="0" applyFont="1" applyFill="1" applyBorder="1" applyAlignment="1" applyProtection="1">
      <alignment horizontal="left" vertical="center"/>
      <protection hidden="1"/>
    </xf>
    <xf numFmtId="0" fontId="0" fillId="4" borderId="2" xfId="0" applyFont="1" applyFill="1" applyBorder="1" applyAlignment="1" applyProtection="1">
      <alignment wrapText="1"/>
      <protection hidden="1"/>
    </xf>
    <xf numFmtId="0" fontId="0" fillId="4" borderId="2" xfId="0" applyFont="1" applyFill="1" applyBorder="1" applyProtection="1">
      <protection hidden="1"/>
    </xf>
    <xf numFmtId="0" fontId="15" fillId="2" borderId="0" xfId="0" applyFont="1" applyFill="1" applyAlignment="1" applyProtection="1">
      <alignment vertical="center" wrapText="1"/>
      <protection hidden="1"/>
    </xf>
    <xf numFmtId="0" fontId="15" fillId="0" borderId="0" xfId="0" applyFont="1" applyAlignment="1" applyProtection="1">
      <alignment vertical="center" wrapText="1"/>
      <protection hidden="1"/>
    </xf>
    <xf numFmtId="0" fontId="1" fillId="2" borderId="2" xfId="0" applyFont="1" applyFill="1" applyBorder="1" applyAlignment="1" applyProtection="1">
      <alignment horizontal="left" vertical="top" wrapText="1"/>
      <protection hidden="1"/>
    </xf>
    <xf numFmtId="0" fontId="0" fillId="4" borderId="4" xfId="0" applyFont="1" applyFill="1" applyBorder="1" applyAlignment="1" applyProtection="1">
      <alignment horizontal="left" vertical="center" wrapText="1"/>
      <protection hidden="1"/>
    </xf>
    <xf numFmtId="0" fontId="0" fillId="4" borderId="6" xfId="0" applyFont="1" applyFill="1" applyBorder="1" applyAlignment="1" applyProtection="1">
      <alignment horizontal="left" vertical="center" wrapText="1"/>
      <protection hidden="1"/>
    </xf>
    <xf numFmtId="0" fontId="0" fillId="4" borderId="7" xfId="0" applyFont="1" applyFill="1" applyBorder="1" applyAlignment="1" applyProtection="1">
      <alignment horizontal="left" vertical="center" wrapText="1"/>
      <protection hidden="1"/>
    </xf>
    <xf numFmtId="0" fontId="23" fillId="3" borderId="4" xfId="0" applyFont="1" applyFill="1" applyBorder="1" applyAlignment="1" applyProtection="1">
      <alignment horizontal="left" vertical="top" wrapText="1"/>
      <protection hidden="1"/>
    </xf>
    <xf numFmtId="0" fontId="23" fillId="3" borderId="6" xfId="0" applyFont="1" applyFill="1" applyBorder="1" applyAlignment="1" applyProtection="1">
      <alignment horizontal="left" vertical="top" wrapText="1"/>
      <protection hidden="1"/>
    </xf>
    <xf numFmtId="0" fontId="17" fillId="3" borderId="4" xfId="0" applyFont="1" applyFill="1" applyBorder="1" applyAlignment="1" applyProtection="1">
      <alignment horizontal="left"/>
      <protection hidden="1"/>
    </xf>
    <xf numFmtId="0" fontId="17" fillId="3" borderId="6" xfId="0" applyFont="1" applyFill="1" applyBorder="1" applyAlignment="1" applyProtection="1">
      <alignment horizontal="left"/>
      <protection hidden="1"/>
    </xf>
    <xf numFmtId="0" fontId="17" fillId="3" borderId="7" xfId="0" applyFont="1" applyFill="1" applyBorder="1" applyAlignment="1" applyProtection="1">
      <alignment horizontal="left"/>
      <protection hidden="1"/>
    </xf>
    <xf numFmtId="0" fontId="37" fillId="4" borderId="2" xfId="0" applyFont="1" applyFill="1" applyBorder="1" applyAlignment="1" applyProtection="1">
      <alignment horizontal="left" vertical="center" wrapText="1"/>
      <protection hidden="1"/>
    </xf>
    <xf numFmtId="0" fontId="0" fillId="0" borderId="51" xfId="0"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0" fontId="0" fillId="0" borderId="80" xfId="0" applyBorder="1" applyAlignment="1">
      <alignment horizontal="center"/>
    </xf>
    <xf numFmtId="0" fontId="0" fillId="17" borderId="0" xfId="0" applyFill="1" applyAlignment="1">
      <alignment horizontal="center"/>
    </xf>
  </cellXfs>
  <cellStyles count="6">
    <cellStyle name="Good" xfId="3" builtinId="26"/>
    <cellStyle name="Good 2" xfId="5" xr:uid="{00000000-0005-0000-0000-000001000000}"/>
    <cellStyle name="Normal" xfId="0" builtinId="0"/>
    <cellStyle name="Normal 3" xfId="1" xr:uid="{00000000-0005-0000-0000-000003000000}"/>
    <cellStyle name="Percent" xfId="2" builtinId="5"/>
    <cellStyle name="Percent 2" xfId="4" xr:uid="{00000000-0005-0000-0000-000005000000}"/>
  </cellStyles>
  <dxfs count="363">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b/>
        <i val="0"/>
        <color rgb="FFFF0000"/>
      </font>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ont>
        <b/>
        <i val="0"/>
        <color rgb="FFFF0000"/>
      </font>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ont>
        <b/>
        <i val="0"/>
        <color rgb="FFFF0000"/>
      </font>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right style="thin">
          <color theme="1"/>
        </right>
      </border>
    </dxf>
    <dxf>
      <font>
        <color theme="0"/>
      </font>
      <fill>
        <patternFill>
          <bgColor theme="0"/>
        </patternFill>
      </fill>
    </dxf>
    <dxf>
      <font>
        <color theme="0"/>
      </font>
      <fill>
        <patternFill>
          <bgColor theme="0"/>
        </patternFill>
      </fill>
      <border>
        <left style="thin">
          <color theme="1"/>
        </left>
        <vertical/>
        <horizontal/>
      </border>
    </dxf>
    <dxf>
      <fill>
        <patternFill>
          <bgColor rgb="FFFF0000"/>
        </patternFill>
      </fill>
    </dxf>
    <dxf>
      <font>
        <b/>
        <i val="0"/>
        <color rgb="FFFF0000"/>
      </font>
    </dxf>
    <dxf>
      <fill>
        <patternFill>
          <bgColor theme="0" tint="-0.14996795556505021"/>
        </patternFill>
      </fill>
    </dxf>
    <dxf>
      <border>
        <top style="thin">
          <color rgb="FF3D6864"/>
        </top>
        <vertical/>
        <horizontal/>
      </border>
    </dxf>
    <dxf>
      <font>
        <color theme="0"/>
      </font>
      <fill>
        <patternFill>
          <bgColor theme="0"/>
        </patternFill>
      </fill>
      <border>
        <left/>
        <right/>
        <top/>
        <bottom/>
        <vertical/>
        <horizontal/>
      </border>
    </dxf>
    <dxf>
      <fill>
        <patternFill>
          <bgColor theme="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font>
      <fill>
        <patternFill>
          <bgColor theme="0"/>
        </patternFill>
      </fill>
      <border>
        <left/>
        <right/>
        <top/>
        <bottom/>
        <vertical/>
        <horizontal/>
      </border>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font>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ont>
        <color theme="0"/>
      </font>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font>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font>
      <fill>
        <patternFill>
          <bgColor theme="0"/>
        </patternFill>
      </fill>
      <border>
        <left/>
        <right/>
        <top style="thin">
          <color rgb="FF3D6864"/>
        </top>
        <bottom/>
        <vertical/>
        <horizontal/>
      </border>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font>
    </dxf>
    <dxf>
      <font>
        <color theme="0"/>
      </font>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font>
    </dxf>
    <dxf>
      <font>
        <color theme="0" tint="-0.499984740745262"/>
      </font>
      <fill>
        <patternFill>
          <bgColor theme="0" tint="-0.499984740745262"/>
        </patternFill>
      </fill>
    </dxf>
    <dxf>
      <font>
        <color theme="0" tint="-0.499984740745262"/>
      </font>
      <fill>
        <patternFill>
          <bgColor theme="0" tint="-0.499984740745262"/>
        </patternFill>
      </fill>
    </dxf>
    <dxf>
      <border>
        <top style="thin">
          <color rgb="FF3D6864"/>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rgb="FF3D6864"/>
        </top>
        <bottom/>
        <vertical/>
        <horizontal/>
      </border>
    </dxf>
    <dxf>
      <font>
        <color theme="0" tint="-0.499984740745262"/>
      </font>
      <fill>
        <patternFill>
          <bgColor theme="0" tint="-0.499984740745262"/>
        </patternFill>
      </fill>
    </dxf>
    <dxf>
      <border>
        <top style="thin">
          <color rgb="FF3D6864"/>
        </top>
        <vertical/>
        <horizontal/>
      </border>
    </dxf>
    <dxf>
      <font>
        <color theme="0"/>
      </font>
      <fill>
        <patternFill>
          <bgColor theme="0"/>
        </patternFill>
      </fill>
      <border>
        <left/>
        <right/>
        <top/>
        <bottom/>
        <vertical/>
        <horizontal/>
      </border>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style="thin">
          <color auto="1"/>
        </top>
        <bottom style="thin">
          <color auto="1"/>
        </bottom>
        <vertical/>
        <horizontal/>
      </border>
    </dxf>
    <dxf>
      <font>
        <color theme="0"/>
      </font>
      <fill>
        <patternFill>
          <bgColor theme="0"/>
        </patternFill>
      </fill>
      <border>
        <left/>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style="thin">
          <color auto="1"/>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1"/>
      </font>
      <fill>
        <patternFill>
          <bgColor theme="0"/>
        </patternFill>
      </fill>
    </dxf>
    <dxf>
      <font>
        <color theme="1"/>
      </font>
      <fill>
        <patternFill>
          <bgColor theme="0"/>
        </patternFill>
      </fill>
    </dxf>
    <dxf>
      <font>
        <b/>
        <i val="0"/>
        <color rgb="FFFF0000"/>
      </font>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s>
  <tableStyles count="0" defaultTableStyle="TableStyleMedium9" defaultPivotStyle="PivotStyleLight16"/>
  <colors>
    <mruColors>
      <color rgb="FF3D6864"/>
      <color rgb="FFFFD146"/>
      <color rgb="FF56B146"/>
      <color rgb="FFF16161"/>
      <color rgb="FFC4BD97"/>
      <color rgb="FFB9C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'Assessment Rating &amp; KPIs'!$AC$19</c:f>
              <c:strCache>
                <c:ptCount val="1"/>
                <c:pt idx="0">
                  <c:v>Section score available</c:v>
                </c:pt>
              </c:strCache>
            </c:strRef>
          </c:tx>
          <c:spPr>
            <a:solidFill>
              <a:srgbClr val="406864"/>
            </a:solidFill>
          </c:spPr>
          <c:invertIfNegative val="0"/>
          <c:cat>
            <c:strRef>
              <c:f>'Assessment Rating &amp; KPIs'!$AB$20:$AB$29</c:f>
              <c:strCache>
                <c:ptCount val="10"/>
                <c:pt idx="0">
                  <c:v>Man</c:v>
                </c:pt>
                <c:pt idx="1">
                  <c:v>Hea</c:v>
                </c:pt>
                <c:pt idx="2">
                  <c:v>Ene</c:v>
                </c:pt>
                <c:pt idx="3">
                  <c:v>Tra</c:v>
                </c:pt>
                <c:pt idx="4">
                  <c:v>Wat</c:v>
                </c:pt>
                <c:pt idx="5">
                  <c:v>Mat</c:v>
                </c:pt>
                <c:pt idx="6">
                  <c:v>Wst</c:v>
                </c:pt>
                <c:pt idx="7">
                  <c:v>LE</c:v>
                </c:pt>
                <c:pt idx="8">
                  <c:v>Pol</c:v>
                </c:pt>
                <c:pt idx="9">
                  <c:v>Inn</c:v>
                </c:pt>
              </c:strCache>
            </c:strRef>
          </c:cat>
          <c:val>
            <c:numRef>
              <c:f>'Assessment Rating &amp; KPIs'!$AC$20:$AC$29</c:f>
              <c:numCache>
                <c:formatCode>0%</c:formatCode>
                <c:ptCount val="10"/>
                <c:pt idx="0">
                  <c:v>0.12</c:v>
                </c:pt>
                <c:pt idx="1">
                  <c:v>0.15</c:v>
                </c:pt>
                <c:pt idx="2">
                  <c:v>0.19</c:v>
                </c:pt>
                <c:pt idx="3">
                  <c:v>0.1</c:v>
                </c:pt>
                <c:pt idx="4">
                  <c:v>0.05</c:v>
                </c:pt>
                <c:pt idx="5">
                  <c:v>0.13500000000000001</c:v>
                </c:pt>
                <c:pt idx="6">
                  <c:v>7.4999999999999997E-2</c:v>
                </c:pt>
                <c:pt idx="7">
                  <c:v>0.1</c:v>
                </c:pt>
                <c:pt idx="8">
                  <c:v>0.08</c:v>
                </c:pt>
                <c:pt idx="9">
                  <c:v>0.1</c:v>
                </c:pt>
              </c:numCache>
            </c:numRef>
          </c:val>
          <c:extLst>
            <c:ext xmlns:c16="http://schemas.microsoft.com/office/drawing/2014/chart" uri="{C3380CC4-5D6E-409C-BE32-E72D297353CC}">
              <c16:uniqueId val="{00000000-F474-4344-A64F-9500F3F284CF}"/>
            </c:ext>
          </c:extLst>
        </c:ser>
        <c:ser>
          <c:idx val="1"/>
          <c:order val="1"/>
          <c:tx>
            <c:strRef>
              <c:f>'Assessment Rating &amp; KPIs'!$AD$19</c:f>
              <c:strCache>
                <c:ptCount val="1"/>
                <c:pt idx="0">
                  <c:v>Building Performance</c:v>
                </c:pt>
              </c:strCache>
            </c:strRef>
          </c:tx>
          <c:spPr>
            <a:solidFill>
              <a:srgbClr val="56B146"/>
            </a:solidFill>
          </c:spPr>
          <c:invertIfNegative val="0"/>
          <c:cat>
            <c:strRef>
              <c:f>'Assessment Rating &amp; KPIs'!$AB$20:$AB$29</c:f>
              <c:strCache>
                <c:ptCount val="10"/>
                <c:pt idx="0">
                  <c:v>Man</c:v>
                </c:pt>
                <c:pt idx="1">
                  <c:v>Hea</c:v>
                </c:pt>
                <c:pt idx="2">
                  <c:v>Ene</c:v>
                </c:pt>
                <c:pt idx="3">
                  <c:v>Tra</c:v>
                </c:pt>
                <c:pt idx="4">
                  <c:v>Wat</c:v>
                </c:pt>
                <c:pt idx="5">
                  <c:v>Mat</c:v>
                </c:pt>
                <c:pt idx="6">
                  <c:v>Wst</c:v>
                </c:pt>
                <c:pt idx="7">
                  <c:v>LE</c:v>
                </c:pt>
                <c:pt idx="8">
                  <c:v>Pol</c:v>
                </c:pt>
                <c:pt idx="9">
                  <c:v>Inn</c:v>
                </c:pt>
              </c:strCache>
            </c:strRef>
          </c:cat>
          <c:val>
            <c:numRef>
              <c:f>'Assessment Rating &amp; KPIs'!$AD$20:$AD$29</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F474-4344-A64F-9500F3F284CF}"/>
            </c:ext>
          </c:extLst>
        </c:ser>
        <c:dLbls>
          <c:showLegendKey val="0"/>
          <c:showVal val="0"/>
          <c:showCatName val="0"/>
          <c:showSerName val="0"/>
          <c:showPercent val="0"/>
          <c:showBubbleSize val="0"/>
        </c:dLbls>
        <c:gapWidth val="75"/>
        <c:overlap val="-25"/>
        <c:axId val="603578072"/>
        <c:axId val="603578464"/>
      </c:barChart>
      <c:catAx>
        <c:axId val="60357807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603578464"/>
        <c:crosses val="autoZero"/>
        <c:auto val="1"/>
        <c:lblAlgn val="ctr"/>
        <c:lblOffset val="100"/>
        <c:noMultiLvlLbl val="0"/>
      </c:catAx>
      <c:valAx>
        <c:axId val="603578464"/>
        <c:scaling>
          <c:orientation val="minMax"/>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nb-NO"/>
          </a:p>
        </c:txPr>
        <c:crossAx val="603578072"/>
        <c:crosses val="autoZero"/>
        <c:crossBetween val="between"/>
      </c:valAx>
    </c:plotArea>
    <c:legend>
      <c:legendPos val="b"/>
      <c:legendEntry>
        <c:idx val="1"/>
        <c:txPr>
          <a:bodyPr/>
          <a:lstStyle/>
          <a:p>
            <a:pPr>
              <a:defRPr sz="1000" b="0" i="0" u="none" strike="noStrike" baseline="0">
                <a:solidFill>
                  <a:srgbClr val="000000"/>
                </a:solidFill>
                <a:latin typeface="Calibri"/>
                <a:ea typeface="Calibri"/>
                <a:cs typeface="Calibri"/>
              </a:defRPr>
            </a:pPr>
            <a:endParaRPr lang="nb-NO"/>
          </a:p>
        </c:txPr>
      </c:legendEntry>
      <c:overlay val="0"/>
      <c:txPr>
        <a:bodyPr/>
        <a:lstStyle/>
        <a:p>
          <a:pPr>
            <a:defRPr sz="1000" b="0" i="0" u="none" strike="noStrike" baseline="0">
              <a:solidFill>
                <a:srgbClr val="000000"/>
              </a:solidFill>
              <a:latin typeface="Calibri"/>
              <a:ea typeface="Calibri"/>
              <a:cs typeface="Calibri"/>
            </a:defRPr>
          </a:pPr>
          <a:endParaRPr lang="nb-NO"/>
        </a:p>
      </c:txPr>
    </c:legend>
    <c:plotVisOnly val="0"/>
    <c:dispBlanksAs val="gap"/>
    <c:showDLblsOverMax val="0"/>
  </c:chart>
  <c:spPr>
    <a:noFill/>
    <a:ln w="6350">
      <a:noFill/>
    </a:ln>
  </c:spPr>
  <c:txPr>
    <a:bodyPr/>
    <a:lstStyle/>
    <a:p>
      <a:pPr>
        <a:defRPr sz="1000" b="0" i="0" u="none" strike="noStrike" baseline="0">
          <a:solidFill>
            <a:srgbClr val="000000"/>
          </a:solidFill>
          <a:latin typeface="Calibri"/>
          <a:ea typeface="Calibri"/>
          <a:cs typeface="Calibri"/>
        </a:defRPr>
      </a:pPr>
      <a:endParaRPr lang="nb-NO"/>
    </a:p>
  </c:txPr>
  <c:printSettings>
    <c:headerFooter/>
    <c:pageMargins b="0.75000000000000733" l="0.70000000000000062" r="0.70000000000000062" t="0.7500000000000073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66029043955481"/>
          <c:y val="4.2195507462141082E-2"/>
          <c:w val="0.85957557632275794"/>
          <c:h val="0.722508509326657"/>
        </c:manualLayout>
      </c:layout>
      <c:barChart>
        <c:barDir val="col"/>
        <c:grouping val="clustered"/>
        <c:varyColors val="0"/>
        <c:ser>
          <c:idx val="0"/>
          <c:order val="0"/>
          <c:tx>
            <c:strRef>
              <c:f>'Assessment Rating &amp; KPIs'!$AC$32</c:f>
              <c:strCache>
                <c:ptCount val="1"/>
                <c:pt idx="0">
                  <c:v>Building Performance</c:v>
                </c:pt>
              </c:strCache>
            </c:strRef>
          </c:tx>
          <c:spPr>
            <a:solidFill>
              <a:srgbClr val="56B146"/>
            </a:solidFill>
          </c:spPr>
          <c:invertIfNegative val="0"/>
          <c:cat>
            <c:strRef>
              <c:f>'Assessment Rating &amp; KPIs'!$AB$33:$AB$48</c:f>
              <c:strCache>
                <c:ptCount val="16"/>
                <c:pt idx="0">
                  <c:v>Man 03</c:v>
                </c:pt>
                <c:pt idx="1">
                  <c:v>Man 04</c:v>
                </c:pt>
                <c:pt idx="2">
                  <c:v>Man 05</c:v>
                </c:pt>
                <c:pt idx="3">
                  <c:v>Hea 01</c:v>
                </c:pt>
                <c:pt idx="4">
                  <c:v>Hea 02</c:v>
                </c:pt>
                <c:pt idx="6">
                  <c:v>Hea 09</c:v>
                </c:pt>
                <c:pt idx="7">
                  <c:v>Ene 01</c:v>
                </c:pt>
                <c:pt idx="8">
                  <c:v>Ene 02</c:v>
                </c:pt>
                <c:pt idx="9">
                  <c:v>Ene 04</c:v>
                </c:pt>
                <c:pt idx="10">
                  <c:v>Ene 23</c:v>
                </c:pt>
                <c:pt idx="11">
                  <c:v>Wat 01</c:v>
                </c:pt>
                <c:pt idx="12">
                  <c:v>Mat 01</c:v>
                </c:pt>
                <c:pt idx="13">
                  <c:v>Mat 03</c:v>
                </c:pt>
                <c:pt idx="14">
                  <c:v>Wst 01</c:v>
                </c:pt>
                <c:pt idx="15">
                  <c:v>Wst 03</c:v>
                </c:pt>
              </c:strCache>
            </c:strRef>
          </c:cat>
          <c:val>
            <c:numRef>
              <c:f>'Assessment Rating &amp; KPIs'!$AC$33:$AC$48</c:f>
              <c:numCache>
                <c:formatCode>General</c:formatCode>
                <c:ptCount val="16"/>
                <c:pt idx="0">
                  <c:v>3</c:v>
                </c:pt>
                <c:pt idx="1">
                  <c:v>0</c:v>
                </c:pt>
                <c:pt idx="2">
                  <c:v>3</c:v>
                </c:pt>
                <c:pt idx="3">
                  <c:v>0</c:v>
                </c:pt>
                <c:pt idx="4">
                  <c:v>2</c:v>
                </c:pt>
                <c:pt idx="5">
                  <c:v>0</c:v>
                </c:pt>
                <c:pt idx="6">
                  <c:v>2</c:v>
                </c:pt>
                <c:pt idx="7">
                  <c:v>3</c:v>
                </c:pt>
                <c:pt idx="8">
                  <c:v>2</c:v>
                </c:pt>
                <c:pt idx="9">
                  <c:v>3</c:v>
                </c:pt>
                <c:pt idx="10">
                  <c:v>4</c:v>
                </c:pt>
                <c:pt idx="11">
                  <c:v>3</c:v>
                </c:pt>
                <c:pt idx="12">
                  <c:v>5</c:v>
                </c:pt>
                <c:pt idx="13">
                  <c:v>0</c:v>
                </c:pt>
                <c:pt idx="14">
                  <c:v>4</c:v>
                </c:pt>
                <c:pt idx="15">
                  <c:v>3</c:v>
                </c:pt>
              </c:numCache>
            </c:numRef>
          </c:val>
          <c:extLst>
            <c:ext xmlns:c16="http://schemas.microsoft.com/office/drawing/2014/chart" uri="{C3380CC4-5D6E-409C-BE32-E72D297353CC}">
              <c16:uniqueId val="{00000000-F474-4344-A64F-9500F3F284CF}"/>
            </c:ext>
          </c:extLst>
        </c:ser>
        <c:dLbls>
          <c:showLegendKey val="0"/>
          <c:showVal val="0"/>
          <c:showCatName val="0"/>
          <c:showSerName val="0"/>
          <c:showPercent val="0"/>
          <c:showBubbleSize val="0"/>
        </c:dLbls>
        <c:gapWidth val="75"/>
        <c:overlap val="-25"/>
        <c:axId val="603584736"/>
        <c:axId val="603578856"/>
        <c:extLst>
          <c:ext xmlns:c15="http://schemas.microsoft.com/office/drawing/2012/chart" uri="{02D57815-91ED-43cb-92C2-25804820EDAC}">
            <c15:filteredBarSeries>
              <c15:ser>
                <c:idx val="1"/>
                <c:order val="1"/>
                <c:tx>
                  <c:strRef>
                    <c:extLst>
                      <c:ext uri="{02D57815-91ED-43cb-92C2-25804820EDAC}">
                        <c15:formulaRef>
                          <c15:sqref>'Assessment Rating &amp; KPIs'!$AD$32</c15:sqref>
                        </c15:formulaRef>
                      </c:ext>
                    </c:extLst>
                    <c:strCache>
                      <c:ptCount val="1"/>
                      <c:pt idx="0">
                        <c:v>#REF!</c:v>
                      </c:pt>
                    </c:strCache>
                  </c:strRef>
                </c:tx>
                <c:spPr>
                  <a:solidFill>
                    <a:srgbClr val="B9CDE5"/>
                  </a:solidFill>
                </c:spPr>
                <c:invertIfNegative val="0"/>
                <c:cat>
                  <c:strRef>
                    <c:extLst>
                      <c:ext uri="{02D57815-91ED-43cb-92C2-25804820EDAC}">
                        <c15:formulaRef>
                          <c15:sqref>'Assessment Rating &amp; KPIs'!$AB$33:$AB$48</c15:sqref>
                        </c15:formulaRef>
                      </c:ext>
                    </c:extLst>
                    <c:strCache>
                      <c:ptCount val="16"/>
                      <c:pt idx="0">
                        <c:v>Man 03</c:v>
                      </c:pt>
                      <c:pt idx="1">
                        <c:v>Man 04</c:v>
                      </c:pt>
                      <c:pt idx="2">
                        <c:v>Man 05</c:v>
                      </c:pt>
                      <c:pt idx="3">
                        <c:v>Hea 01</c:v>
                      </c:pt>
                      <c:pt idx="4">
                        <c:v>Hea 02</c:v>
                      </c:pt>
                      <c:pt idx="6">
                        <c:v>Hea 09</c:v>
                      </c:pt>
                      <c:pt idx="7">
                        <c:v>Ene 01</c:v>
                      </c:pt>
                      <c:pt idx="8">
                        <c:v>Ene 02</c:v>
                      </c:pt>
                      <c:pt idx="9">
                        <c:v>Ene 04</c:v>
                      </c:pt>
                      <c:pt idx="10">
                        <c:v>Ene 23</c:v>
                      </c:pt>
                      <c:pt idx="11">
                        <c:v>Wat 01</c:v>
                      </c:pt>
                      <c:pt idx="12">
                        <c:v>Mat 01</c:v>
                      </c:pt>
                      <c:pt idx="13">
                        <c:v>Mat 03</c:v>
                      </c:pt>
                      <c:pt idx="14">
                        <c:v>Wst 01</c:v>
                      </c:pt>
                      <c:pt idx="15">
                        <c:v>Wst 03</c:v>
                      </c:pt>
                    </c:strCache>
                  </c:strRef>
                </c:cat>
                <c:val>
                  <c:numRef>
                    <c:extLst>
                      <c:ext uri="{02D57815-91ED-43cb-92C2-25804820EDAC}">
                        <c15:formulaRef>
                          <c15:sqref>'Assessment Rating &amp; KPIs'!$AD$33:$AD$48</c15:sqref>
                        </c15:formulaRef>
                      </c:ext>
                    </c:extLst>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F474-4344-A64F-9500F3F284C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'Assessment Rating &amp; KPIs'!$AE$32</c15:sqref>
                        </c15:formulaRef>
                      </c:ext>
                    </c:extLst>
                    <c:strCache>
                      <c:ptCount val="1"/>
                      <c:pt idx="0">
                        <c:v>#REF!</c:v>
                      </c:pt>
                    </c:strCache>
                  </c:strRef>
                </c:tx>
                <c:spPr>
                  <a:solidFill>
                    <a:srgbClr val="C4BD97"/>
                  </a:solidFill>
                </c:spPr>
                <c:invertIfNegative val="0"/>
                <c:cat>
                  <c:strRef>
                    <c:extLst xmlns:c15="http://schemas.microsoft.com/office/drawing/2012/chart">
                      <c:ext xmlns:c15="http://schemas.microsoft.com/office/drawing/2012/chart" uri="{02D57815-91ED-43cb-92C2-25804820EDAC}">
                        <c15:formulaRef>
                          <c15:sqref>'Assessment Rating &amp; KPIs'!$AB$33:$AB$48</c15:sqref>
                        </c15:formulaRef>
                      </c:ext>
                    </c:extLst>
                    <c:strCache>
                      <c:ptCount val="16"/>
                      <c:pt idx="0">
                        <c:v>Man 03</c:v>
                      </c:pt>
                      <c:pt idx="1">
                        <c:v>Man 04</c:v>
                      </c:pt>
                      <c:pt idx="2">
                        <c:v>Man 05</c:v>
                      </c:pt>
                      <c:pt idx="3">
                        <c:v>Hea 01</c:v>
                      </c:pt>
                      <c:pt idx="4">
                        <c:v>Hea 02</c:v>
                      </c:pt>
                      <c:pt idx="6">
                        <c:v>Hea 09</c:v>
                      </c:pt>
                      <c:pt idx="7">
                        <c:v>Ene 01</c:v>
                      </c:pt>
                      <c:pt idx="8">
                        <c:v>Ene 02</c:v>
                      </c:pt>
                      <c:pt idx="9">
                        <c:v>Ene 04</c:v>
                      </c:pt>
                      <c:pt idx="10">
                        <c:v>Ene 23</c:v>
                      </c:pt>
                      <c:pt idx="11">
                        <c:v>Wat 01</c:v>
                      </c:pt>
                      <c:pt idx="12">
                        <c:v>Mat 01</c:v>
                      </c:pt>
                      <c:pt idx="13">
                        <c:v>Mat 03</c:v>
                      </c:pt>
                      <c:pt idx="14">
                        <c:v>Wst 01</c:v>
                      </c:pt>
                      <c:pt idx="15">
                        <c:v>Wst 03</c:v>
                      </c:pt>
                    </c:strCache>
                  </c:strRef>
                </c:cat>
                <c:val>
                  <c:numRef>
                    <c:extLst xmlns:c15="http://schemas.microsoft.com/office/drawing/2012/chart">
                      <c:ext xmlns:c15="http://schemas.microsoft.com/office/drawing/2012/chart" uri="{02D57815-91ED-43cb-92C2-25804820EDAC}">
                        <c15:formulaRef>
                          <c15:sqref>'Assessment Rating &amp; KPIs'!$AE$33:$AE$48</c15:sqref>
                        </c15:formulaRef>
                      </c:ext>
                    </c:extLst>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2-F474-4344-A64F-9500F3F284CF}"/>
                  </c:ext>
                </c:extLst>
              </c15:ser>
            </c15:filteredBarSeries>
          </c:ext>
        </c:extLst>
      </c:barChart>
      <c:catAx>
        <c:axId val="60358473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603578856"/>
        <c:crosses val="autoZero"/>
        <c:auto val="1"/>
        <c:lblAlgn val="ctr"/>
        <c:lblOffset val="100"/>
        <c:noMultiLvlLbl val="0"/>
      </c:catAx>
      <c:valAx>
        <c:axId val="603578856"/>
        <c:scaling>
          <c:orientation val="minMax"/>
          <c:max val="5"/>
        </c:scaling>
        <c:delete val="1"/>
        <c:axPos val="l"/>
        <c:majorGridlines/>
        <c:numFmt formatCode="0%" sourceLinked="0"/>
        <c:majorTickMark val="none"/>
        <c:minorTickMark val="none"/>
        <c:tickLblPos val="nextTo"/>
        <c:crossAx val="603584736"/>
        <c:crosses val="autoZero"/>
        <c:crossBetween val="between"/>
        <c:majorUnit val="1"/>
      </c:valAx>
    </c:plotArea>
    <c:legend>
      <c:legendPos val="b"/>
      <c:layout>
        <c:manualLayout>
          <c:xMode val="edge"/>
          <c:yMode val="edge"/>
          <c:x val="0.10425054779133901"/>
          <c:y val="0.88460329124958204"/>
          <c:w val="0.78340991326686749"/>
          <c:h val="9.2380977407431883E-2"/>
        </c:manualLayout>
      </c:layout>
      <c:overlay val="0"/>
      <c:txPr>
        <a:bodyPr/>
        <a:lstStyle/>
        <a:p>
          <a:pPr>
            <a:defRPr sz="1000" b="0" i="0" u="none" strike="noStrike" baseline="0">
              <a:solidFill>
                <a:srgbClr val="000000"/>
              </a:solidFill>
              <a:latin typeface="Calibri"/>
              <a:ea typeface="Calibri"/>
              <a:cs typeface="Calibri"/>
            </a:defRPr>
          </a:pPr>
          <a:endParaRPr lang="nb-NO"/>
        </a:p>
      </c:txPr>
    </c:legend>
    <c:plotVisOnly val="0"/>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nb-NO"/>
    </a:p>
  </c:txPr>
  <c:printSettings>
    <c:headerFooter/>
    <c:pageMargins b="0.75000000000000733" l="0.70000000000000062" r="0.70000000000000062" t="0.75000000000000733"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8" Type="http://schemas.openxmlformats.org/officeDocument/2006/relationships/hyperlink" Target="#ELI"/><Relationship Id="rId3" Type="http://schemas.openxmlformats.org/officeDocument/2006/relationships/hyperlink" Target="#WAT"/><Relationship Id="rId7" Type="http://schemas.openxmlformats.org/officeDocument/2006/relationships/hyperlink" Target="#POL"/><Relationship Id="rId2" Type="http://schemas.openxmlformats.org/officeDocument/2006/relationships/hyperlink" Target="#TRA"/><Relationship Id="rId1" Type="http://schemas.openxmlformats.org/officeDocument/2006/relationships/hyperlink" Target="#ENE"/><Relationship Id="rId6" Type="http://schemas.openxmlformats.org/officeDocument/2006/relationships/hyperlink" Target="#LE"/><Relationship Id="rId11" Type="http://schemas.openxmlformats.org/officeDocument/2006/relationships/image" Target="../media/image10.png"/><Relationship Id="rId5" Type="http://schemas.openxmlformats.org/officeDocument/2006/relationships/hyperlink" Target="#WST"/><Relationship Id="rId10" Type="http://schemas.openxmlformats.org/officeDocument/2006/relationships/hyperlink" Target="#MAN"/><Relationship Id="rId4" Type="http://schemas.openxmlformats.org/officeDocument/2006/relationships/hyperlink" Target="#MAT"/><Relationship Id="rId9" Type="http://schemas.openxmlformats.org/officeDocument/2006/relationships/hyperlink" Target="#HEA"/></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3</xdr:col>
      <xdr:colOff>1026365</xdr:colOff>
      <xdr:row>10</xdr:row>
      <xdr:rowOff>95250</xdr:rowOff>
    </xdr:from>
    <xdr:to>
      <xdr:col>8</xdr:col>
      <xdr:colOff>114301</xdr:colOff>
      <xdr:row>14</xdr:row>
      <xdr:rowOff>104774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50365" y="5810250"/>
          <a:ext cx="2574086" cy="771524"/>
        </a:xfrm>
        <a:prstGeom prst="rect">
          <a:avLst/>
        </a:prstGeom>
      </xdr:spPr>
    </xdr:pic>
    <xdr:clientData/>
  </xdr:twoCellAnchor>
  <xdr:twoCellAnchor editAs="oneCell">
    <xdr:from>
      <xdr:col>1</xdr:col>
      <xdr:colOff>142874</xdr:colOff>
      <xdr:row>9</xdr:row>
      <xdr:rowOff>33236</xdr:rowOff>
    </xdr:from>
    <xdr:to>
      <xdr:col>3</xdr:col>
      <xdr:colOff>638174</xdr:colOff>
      <xdr:row>16</xdr:row>
      <xdr:rowOff>110652</xdr:rowOff>
    </xdr:to>
    <xdr:pic>
      <xdr:nvPicPr>
        <xdr:cNvPr id="7" name="Picture 1">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474" y="5291036"/>
          <a:ext cx="1800225" cy="1410916"/>
        </a:xfrm>
        <a:prstGeom prst="rect">
          <a:avLst/>
        </a:prstGeom>
      </xdr:spPr>
    </xdr:pic>
    <xdr:clientData/>
  </xdr:twoCellAnchor>
  <xdr:twoCellAnchor editAs="oneCell">
    <xdr:from>
      <xdr:col>11</xdr:col>
      <xdr:colOff>390525</xdr:colOff>
      <xdr:row>0</xdr:row>
      <xdr:rowOff>133350</xdr:rowOff>
    </xdr:from>
    <xdr:to>
      <xdr:col>16</xdr:col>
      <xdr:colOff>28575</xdr:colOff>
      <xdr:row>3</xdr:row>
      <xdr:rowOff>79763</xdr:rowOff>
    </xdr:to>
    <xdr:pic>
      <xdr:nvPicPr>
        <xdr:cNvPr id="8" name="Bilde 7">
          <a:extLst>
            <a:ext uri="{FF2B5EF4-FFF2-40B4-BE49-F238E27FC236}">
              <a16:creationId xmlns:a16="http://schemas.microsoft.com/office/drawing/2014/main" id="{E698E6A3-18D7-4172-BCC5-0A47191A95A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29475" y="133350"/>
          <a:ext cx="2838450" cy="6703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967282</xdr:colOff>
      <xdr:row>0</xdr:row>
      <xdr:rowOff>47626</xdr:rowOff>
    </xdr:from>
    <xdr:to>
      <xdr:col>22</xdr:col>
      <xdr:colOff>61633</xdr:colOff>
      <xdr:row>0</xdr:row>
      <xdr:rowOff>528419</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69232" y="47626"/>
          <a:ext cx="1018401" cy="4807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39</xdr:row>
      <xdr:rowOff>783245</xdr:rowOff>
    </xdr:from>
    <xdr:to>
      <xdr:col>2</xdr:col>
      <xdr:colOff>2427446</xdr:colOff>
      <xdr:row>40</xdr:row>
      <xdr:rowOff>489294</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0" y="9489095"/>
          <a:ext cx="2416016" cy="519484"/>
        </a:xfrm>
        <a:prstGeom prst="rect">
          <a:avLst/>
        </a:prstGeom>
      </xdr:spPr>
    </xdr:pic>
    <xdr:clientData/>
  </xdr:twoCellAnchor>
  <xdr:twoCellAnchor>
    <xdr:from>
      <xdr:col>2</xdr:col>
      <xdr:colOff>3590925</xdr:colOff>
      <xdr:row>52</xdr:row>
      <xdr:rowOff>180975</xdr:rowOff>
    </xdr:from>
    <xdr:to>
      <xdr:col>4</xdr:col>
      <xdr:colOff>28575</xdr:colOff>
      <xdr:row>54</xdr:row>
      <xdr:rowOff>57150</xdr:rowOff>
    </xdr:to>
    <xdr:sp macro="" textlink="">
      <xdr:nvSpPr>
        <xdr:cNvPr id="2" name="TextBox 1">
          <a:extLst>
            <a:ext uri="{FF2B5EF4-FFF2-40B4-BE49-F238E27FC236}">
              <a16:creationId xmlns:a16="http://schemas.microsoft.com/office/drawing/2014/main" id="{3A135991-4E91-4F0E-87BE-214FEC4B6226}"/>
            </a:ext>
          </a:extLst>
        </xdr:cNvPr>
        <xdr:cNvSpPr txBox="1"/>
      </xdr:nvSpPr>
      <xdr:spPr>
        <a:xfrm>
          <a:off x="6257925" y="13630275"/>
          <a:ext cx="100965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nb-NO" sz="1100">
              <a:solidFill>
                <a:sysClr val="windowText" lastClr="000000"/>
              </a:solidFill>
            </a:rPr>
            <a:t>Tool date:</a:t>
          </a:r>
        </a:p>
      </xdr:txBody>
    </xdr:sp>
    <xdr:clientData/>
  </xdr:twoCellAnchor>
  <xdr:twoCellAnchor editAs="oneCell">
    <xdr:from>
      <xdr:col>5</xdr:col>
      <xdr:colOff>1114425</xdr:colOff>
      <xdr:row>0</xdr:row>
      <xdr:rowOff>133350</xdr:rowOff>
    </xdr:from>
    <xdr:to>
      <xdr:col>6</xdr:col>
      <xdr:colOff>34289</xdr:colOff>
      <xdr:row>2</xdr:row>
      <xdr:rowOff>72230</xdr:rowOff>
    </xdr:to>
    <xdr:pic>
      <xdr:nvPicPr>
        <xdr:cNvPr id="5" name="Bilde 5">
          <a:extLst>
            <a:ext uri="{FF2B5EF4-FFF2-40B4-BE49-F238E27FC236}">
              <a16:creationId xmlns:a16="http://schemas.microsoft.com/office/drawing/2014/main" id="{DE787CC3-7A00-44E4-B620-3C0424DDF9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92375" y="133350"/>
          <a:ext cx="2419349" cy="5713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7581900</xdr:colOff>
      <xdr:row>8</xdr:row>
      <xdr:rowOff>0</xdr:rowOff>
    </xdr:from>
    <xdr:to>
      <xdr:col>7</xdr:col>
      <xdr:colOff>1352550</xdr:colOff>
      <xdr:row>8</xdr:row>
      <xdr:rowOff>171450</xdr:rowOff>
    </xdr:to>
    <xdr:sp macro="" textlink="">
      <xdr:nvSpPr>
        <xdr:cNvPr id="5" name="Rectangle 4">
          <a:extLst>
            <a:ext uri="{FF2B5EF4-FFF2-40B4-BE49-F238E27FC236}">
              <a16:creationId xmlns:a16="http://schemas.microsoft.com/office/drawing/2014/main" id="{00000000-0008-0000-0300-000005000000}"/>
            </a:ext>
          </a:extLst>
        </xdr:cNvPr>
        <xdr:cNvSpPr/>
      </xdr:nvSpPr>
      <xdr:spPr>
        <a:xfrm>
          <a:off x="8486775" y="1609725"/>
          <a:ext cx="6362700" cy="1714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8</xdr:col>
      <xdr:colOff>12954000</xdr:colOff>
      <xdr:row>7</xdr:row>
      <xdr:rowOff>56029</xdr:rowOff>
    </xdr:from>
    <xdr:to>
      <xdr:col>9</xdr:col>
      <xdr:colOff>248211</xdr:colOff>
      <xdr:row>9</xdr:row>
      <xdr:rowOff>3361</xdr:rowOff>
    </xdr:to>
    <xdr:sp macro="" textlink="">
      <xdr:nvSpPr>
        <xdr:cNvPr id="9" name="Rectangle 8">
          <a:extLst>
            <a:ext uri="{FF2B5EF4-FFF2-40B4-BE49-F238E27FC236}">
              <a16:creationId xmlns:a16="http://schemas.microsoft.com/office/drawing/2014/main" id="{00000000-0008-0000-0300-000009000000}"/>
            </a:ext>
          </a:extLst>
        </xdr:cNvPr>
        <xdr:cNvSpPr/>
      </xdr:nvSpPr>
      <xdr:spPr>
        <a:xfrm>
          <a:off x="27734559" y="1479176"/>
          <a:ext cx="786093" cy="32833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9</xdr:col>
      <xdr:colOff>616324</xdr:colOff>
      <xdr:row>7</xdr:row>
      <xdr:rowOff>156883</xdr:rowOff>
    </xdr:from>
    <xdr:to>
      <xdr:col>9</xdr:col>
      <xdr:colOff>1402417</xdr:colOff>
      <xdr:row>9</xdr:row>
      <xdr:rowOff>104215</xdr:rowOff>
    </xdr:to>
    <xdr:sp macro="" textlink="">
      <xdr:nvSpPr>
        <xdr:cNvPr id="10" name="Rectangle 9">
          <a:extLst>
            <a:ext uri="{FF2B5EF4-FFF2-40B4-BE49-F238E27FC236}">
              <a16:creationId xmlns:a16="http://schemas.microsoft.com/office/drawing/2014/main" id="{00000000-0008-0000-0300-00000A000000}"/>
            </a:ext>
          </a:extLst>
        </xdr:cNvPr>
        <xdr:cNvSpPr/>
      </xdr:nvSpPr>
      <xdr:spPr>
        <a:xfrm>
          <a:off x="28888765" y="1580030"/>
          <a:ext cx="786093" cy="32833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8</xdr:col>
      <xdr:colOff>123265</xdr:colOff>
      <xdr:row>0</xdr:row>
      <xdr:rowOff>156883</xdr:rowOff>
    </xdr:from>
    <xdr:to>
      <xdr:col>8</xdr:col>
      <xdr:colOff>3009901</xdr:colOff>
      <xdr:row>8</xdr:row>
      <xdr:rowOff>57149</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14915590" y="156883"/>
          <a:ext cx="2886636" cy="1700491"/>
        </a:xfrm>
        <a:prstGeom prst="rect">
          <a:avLst/>
        </a:prstGeom>
        <a:solidFill>
          <a:srgbClr val="3D6864"/>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8</xdr:col>
      <xdr:colOff>390525</xdr:colOff>
      <xdr:row>0</xdr:row>
      <xdr:rowOff>100291</xdr:rowOff>
    </xdr:from>
    <xdr:to>
      <xdr:col>8</xdr:col>
      <xdr:colOff>3009901</xdr:colOff>
      <xdr:row>3</xdr:row>
      <xdr:rowOff>85724</xdr:rowOff>
    </xdr:to>
    <xdr:sp macro="" textlink="">
      <xdr:nvSpPr>
        <xdr:cNvPr id="14" name="TextBox 13">
          <a:extLst>
            <a:ext uri="{FF2B5EF4-FFF2-40B4-BE49-F238E27FC236}">
              <a16:creationId xmlns:a16="http://schemas.microsoft.com/office/drawing/2014/main" id="{00000000-0008-0000-0300-00000E000000}"/>
            </a:ext>
          </a:extLst>
        </xdr:cNvPr>
        <xdr:cNvSpPr txBox="1"/>
      </xdr:nvSpPr>
      <xdr:spPr bwMode="auto">
        <a:xfrm>
          <a:off x="15182850" y="100291"/>
          <a:ext cx="2619376" cy="823633"/>
        </a:xfrm>
        <a:prstGeom prst="rect">
          <a:avLst/>
        </a:prstGeom>
        <a:noFill/>
        <a:ln w="9525" cap="sq" cmpd="sng">
          <a:noFill/>
          <a:round/>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GB" sz="1100" b="0">
              <a:solidFill>
                <a:schemeClr val="bg1"/>
              </a:solidFill>
            </a:rPr>
            <a:t>Cells that are white with a black border require the user to input information,</a:t>
          </a:r>
          <a:r>
            <a:rPr lang="en-GB" sz="1100" b="0" baseline="0">
              <a:solidFill>
                <a:schemeClr val="bg1"/>
              </a:solidFill>
            </a:rPr>
            <a:t> either by selecting from the available options </a:t>
          </a:r>
          <a:r>
            <a:rPr lang="en-GB" sz="1100" b="0">
              <a:solidFill>
                <a:schemeClr val="bg1"/>
              </a:solidFill>
            </a:rPr>
            <a:t>or</a:t>
          </a:r>
          <a:r>
            <a:rPr lang="en-GB" sz="1100" b="0" baseline="0">
              <a:solidFill>
                <a:schemeClr val="bg1"/>
              </a:solidFill>
            </a:rPr>
            <a:t> entering the required </a:t>
          </a:r>
          <a:r>
            <a:rPr lang="en-GB" sz="1100" b="0">
              <a:solidFill>
                <a:schemeClr val="bg1"/>
              </a:solidFill>
            </a:rPr>
            <a:t>data.</a:t>
          </a:r>
        </a:p>
        <a:p>
          <a:pPr algn="l"/>
          <a:endParaRPr lang="en-GB" sz="1000" b="0">
            <a:solidFill>
              <a:schemeClr val="bg1"/>
            </a:solidFill>
          </a:endParaRPr>
        </a:p>
      </xdr:txBody>
    </xdr:sp>
    <xdr:clientData/>
  </xdr:twoCellAnchor>
  <xdr:twoCellAnchor>
    <xdr:from>
      <xdr:col>8</xdr:col>
      <xdr:colOff>428625</xdr:colOff>
      <xdr:row>3</xdr:row>
      <xdr:rowOff>66675</xdr:rowOff>
    </xdr:from>
    <xdr:to>
      <xdr:col>8</xdr:col>
      <xdr:colOff>2981325</xdr:colOff>
      <xdr:row>8</xdr:row>
      <xdr:rowOff>9525</xdr:rowOff>
    </xdr:to>
    <xdr:sp macro="" textlink="">
      <xdr:nvSpPr>
        <xdr:cNvPr id="15" name="TextBox 14">
          <a:extLst>
            <a:ext uri="{FF2B5EF4-FFF2-40B4-BE49-F238E27FC236}">
              <a16:creationId xmlns:a16="http://schemas.microsoft.com/office/drawing/2014/main" id="{00000000-0008-0000-0300-00000F000000}"/>
            </a:ext>
          </a:extLst>
        </xdr:cNvPr>
        <xdr:cNvSpPr txBox="1"/>
      </xdr:nvSpPr>
      <xdr:spPr bwMode="auto">
        <a:xfrm>
          <a:off x="15220950" y="904875"/>
          <a:ext cx="2552700" cy="904875"/>
        </a:xfrm>
        <a:prstGeom prst="rect">
          <a:avLst/>
        </a:prstGeom>
        <a:noFill/>
        <a:ln w="9525" cap="sq" cmpd="sng">
          <a:noFill/>
          <a:round/>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GB" sz="1100" b="0" i="0">
              <a:solidFill>
                <a:schemeClr val="bg1"/>
              </a:solidFill>
            </a:rPr>
            <a:t>Cells that are light</a:t>
          </a:r>
          <a:r>
            <a:rPr lang="en-GB" sz="1100" b="0" i="0" baseline="0">
              <a:solidFill>
                <a:schemeClr val="bg1"/>
              </a:solidFill>
            </a:rPr>
            <a:t> </a:t>
          </a:r>
          <a:r>
            <a:rPr lang="en-GB" sz="1100" b="0" i="0">
              <a:solidFill>
                <a:schemeClr val="bg1"/>
              </a:solidFill>
            </a:rPr>
            <a:t>grey (with</a:t>
          </a:r>
          <a:r>
            <a:rPr lang="en-GB" sz="1100" b="0" i="0" baseline="0">
              <a:solidFill>
                <a:schemeClr val="bg1"/>
              </a:solidFill>
            </a:rPr>
            <a:t>/without black border)</a:t>
          </a:r>
          <a:r>
            <a:rPr lang="en-GB" sz="1100" b="0" i="0">
              <a:solidFill>
                <a:schemeClr val="bg1"/>
              </a:solidFill>
            </a:rPr>
            <a:t> contain</a:t>
          </a:r>
          <a:r>
            <a:rPr lang="en-GB" sz="1100" b="0" i="0" baseline="0">
              <a:solidFill>
                <a:schemeClr val="bg1"/>
              </a:solidFill>
            </a:rPr>
            <a:t> </a:t>
          </a:r>
          <a:r>
            <a:rPr lang="en-GB" sz="1100" b="0" i="0">
              <a:solidFill>
                <a:schemeClr val="bg1"/>
              </a:solidFill>
            </a:rPr>
            <a:t>information for the user </a:t>
          </a:r>
          <a:r>
            <a:rPr lang="en-GB" sz="1100" b="0" i="0">
              <a:solidFill>
                <a:schemeClr val="bg1"/>
              </a:solidFill>
              <a:latin typeface="+mn-lt"/>
              <a:ea typeface="+mn-ea"/>
              <a:cs typeface="+mn-cs"/>
            </a:rPr>
            <a:t>and/or automated </a:t>
          </a:r>
          <a:r>
            <a:rPr lang="en-GB" sz="1100" b="0" i="0">
              <a:solidFill>
                <a:schemeClr val="bg1"/>
              </a:solidFill>
            </a:rPr>
            <a:t>calculation. They do not require the user to</a:t>
          </a:r>
          <a:r>
            <a:rPr lang="en-GB" sz="1100" b="0" i="0" baseline="0">
              <a:solidFill>
                <a:schemeClr val="bg1"/>
              </a:solidFill>
            </a:rPr>
            <a:t> </a:t>
          </a:r>
          <a:r>
            <a:rPr lang="en-GB" sz="1100" b="0" i="0">
              <a:solidFill>
                <a:schemeClr val="bg1"/>
              </a:solidFill>
            </a:rPr>
            <a:t>input</a:t>
          </a:r>
          <a:r>
            <a:rPr lang="en-GB" sz="1100" b="0" i="0" baseline="0">
              <a:solidFill>
                <a:schemeClr val="bg1"/>
              </a:solidFill>
            </a:rPr>
            <a:t> or select data.</a:t>
          </a:r>
          <a:endParaRPr lang="en-GB" sz="1100" b="0" i="0">
            <a:solidFill>
              <a:schemeClr val="bg1"/>
            </a:solidFill>
            <a:latin typeface="+mn-lt"/>
            <a:ea typeface="+mn-ea"/>
            <a:cs typeface="+mn-cs"/>
          </a:endParaRPr>
        </a:p>
      </xdr:txBody>
    </xdr:sp>
    <xdr:clientData/>
  </xdr:twoCellAnchor>
  <xdr:twoCellAnchor editAs="absolute">
    <xdr:from>
      <xdr:col>3</xdr:col>
      <xdr:colOff>2396440</xdr:colOff>
      <xdr:row>7</xdr:row>
      <xdr:rowOff>215</xdr:rowOff>
    </xdr:from>
    <xdr:to>
      <xdr:col>3</xdr:col>
      <xdr:colOff>3242569</xdr:colOff>
      <xdr:row>8</xdr:row>
      <xdr:rowOff>71622</xdr:rowOff>
    </xdr:to>
    <xdr:sp macro="" textlink="">
      <xdr:nvSpPr>
        <xdr:cNvPr id="16" name="TextBox 15">
          <a:hlinkClick xmlns:r="http://schemas.openxmlformats.org/officeDocument/2006/relationships" r:id="rId1"/>
          <a:extLst>
            <a:ext uri="{FF2B5EF4-FFF2-40B4-BE49-F238E27FC236}">
              <a16:creationId xmlns:a16="http://schemas.microsoft.com/office/drawing/2014/main" id="{00000000-0008-0000-0300-000010000000}"/>
            </a:ext>
          </a:extLst>
        </xdr:cNvPr>
        <xdr:cNvSpPr txBox="1"/>
      </xdr:nvSpPr>
      <xdr:spPr>
        <a:xfrm>
          <a:off x="2865454" y="1654898"/>
          <a:ext cx="859464" cy="271207"/>
        </a:xfrm>
        <a:prstGeom prst="rect">
          <a:avLst/>
        </a:prstGeom>
        <a:solidFill>
          <a:sysClr val="window" lastClr="FFFFFF"/>
        </a:solidFill>
        <a:ln w="12700" cap="rnd">
          <a:solidFill>
            <a:srgbClr val="3D6864"/>
          </a:solidFill>
          <a:bevel/>
        </a:ln>
        <a:effectLst>
          <a:outerShdw blurRad="50800" dist="38100" dir="8100000" algn="tr"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vertOverflow="clip" wrap="square" rtlCol="0" anchor="t"/>
        <a:lstStyle/>
        <a:p>
          <a:pPr marL="0" indent="0" algn="ctr"/>
          <a:r>
            <a:rPr lang="en-GB" sz="1200" b="0" u="none" cap="none" spc="0">
              <a:ln>
                <a:noFill/>
              </a:ln>
              <a:solidFill>
                <a:schemeClr val="tx1"/>
              </a:solidFill>
              <a:effectLst/>
              <a:latin typeface="+mn-lt"/>
              <a:ea typeface="+mn-ea"/>
              <a:cs typeface="+mn-cs"/>
            </a:rPr>
            <a:t>Energy</a:t>
          </a:r>
        </a:p>
      </xdr:txBody>
    </xdr:sp>
    <xdr:clientData fPrintsWithSheet="0"/>
  </xdr:twoCellAnchor>
  <xdr:twoCellAnchor editAs="absolute">
    <xdr:from>
      <xdr:col>3</xdr:col>
      <xdr:colOff>3348454</xdr:colOff>
      <xdr:row>7</xdr:row>
      <xdr:rowOff>1443</xdr:rowOff>
    </xdr:from>
    <xdr:to>
      <xdr:col>3</xdr:col>
      <xdr:colOff>4194977</xdr:colOff>
      <xdr:row>8</xdr:row>
      <xdr:rowOff>72850</xdr:rowOff>
    </xdr:to>
    <xdr:sp macro="" textlink="">
      <xdr:nvSpPr>
        <xdr:cNvPr id="17" name="TextBox 16">
          <a:hlinkClick xmlns:r="http://schemas.openxmlformats.org/officeDocument/2006/relationships" r:id="rId2"/>
          <a:extLst>
            <a:ext uri="{FF2B5EF4-FFF2-40B4-BE49-F238E27FC236}">
              <a16:creationId xmlns:a16="http://schemas.microsoft.com/office/drawing/2014/main" id="{00000000-0008-0000-0300-000011000000}"/>
            </a:ext>
          </a:extLst>
        </xdr:cNvPr>
        <xdr:cNvSpPr txBox="1"/>
      </xdr:nvSpPr>
      <xdr:spPr>
        <a:xfrm>
          <a:off x="3821278" y="1656126"/>
          <a:ext cx="857953" cy="271207"/>
        </a:xfrm>
        <a:prstGeom prst="rect">
          <a:avLst/>
        </a:prstGeom>
        <a:solidFill>
          <a:sysClr val="window" lastClr="FFFFFF"/>
        </a:solidFill>
        <a:ln w="12700" cap="rnd">
          <a:solidFill>
            <a:srgbClr val="3D6864"/>
          </a:solidFill>
          <a:bevel/>
        </a:ln>
        <a:effectLst>
          <a:outerShdw blurRad="50800" dist="38100" dir="8100000" algn="tr"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vertOverflow="clip" wrap="square" rtlCol="0" anchor="t"/>
        <a:lstStyle/>
        <a:p>
          <a:pPr algn="ctr"/>
          <a:r>
            <a:rPr lang="en-GB" sz="1200" b="0" u="none" cap="none" spc="0">
              <a:ln>
                <a:noFill/>
              </a:ln>
              <a:solidFill>
                <a:schemeClr val="tx1"/>
              </a:solidFill>
              <a:effectLst/>
            </a:rPr>
            <a:t>Transport</a:t>
          </a:r>
          <a:endParaRPr lang="en-GB" sz="1200" b="0" u="none" cap="none" spc="0" baseline="0">
            <a:ln>
              <a:noFill/>
            </a:ln>
            <a:solidFill>
              <a:schemeClr val="tx1"/>
            </a:solidFill>
            <a:effectLst/>
          </a:endParaRPr>
        </a:p>
      </xdr:txBody>
    </xdr:sp>
    <xdr:clientData fPrintsWithSheet="0"/>
  </xdr:twoCellAnchor>
  <xdr:twoCellAnchor editAs="absolute">
    <xdr:from>
      <xdr:col>3</xdr:col>
      <xdr:colOff>4300682</xdr:colOff>
      <xdr:row>6</xdr:row>
      <xdr:rowOff>194491</xdr:rowOff>
    </xdr:from>
    <xdr:to>
      <xdr:col>3</xdr:col>
      <xdr:colOff>5174207</xdr:colOff>
      <xdr:row>8</xdr:row>
      <xdr:rowOff>71812</xdr:rowOff>
    </xdr:to>
    <xdr:sp macro="" textlink="">
      <xdr:nvSpPr>
        <xdr:cNvPr id="18" name="TextBox 17">
          <a:hlinkClick xmlns:r="http://schemas.openxmlformats.org/officeDocument/2006/relationships" r:id="rId3"/>
          <a:extLst>
            <a:ext uri="{FF2B5EF4-FFF2-40B4-BE49-F238E27FC236}">
              <a16:creationId xmlns:a16="http://schemas.microsoft.com/office/drawing/2014/main" id="{00000000-0008-0000-0300-000012000000}"/>
            </a:ext>
          </a:extLst>
        </xdr:cNvPr>
        <xdr:cNvSpPr txBox="1"/>
      </xdr:nvSpPr>
      <xdr:spPr>
        <a:xfrm>
          <a:off x="4775411" y="1649373"/>
          <a:ext cx="864000" cy="271207"/>
        </a:xfrm>
        <a:prstGeom prst="rect">
          <a:avLst/>
        </a:prstGeom>
        <a:solidFill>
          <a:sysClr val="window" lastClr="FFFFFF"/>
        </a:solidFill>
        <a:ln w="12700" cap="rnd">
          <a:solidFill>
            <a:srgbClr val="3D6864"/>
          </a:solidFill>
          <a:bevel/>
        </a:ln>
        <a:effectLst>
          <a:outerShdw blurRad="50800" dist="38100" dir="8100000" algn="tr" rotWithShape="0">
            <a:schemeClr val="tx1">
              <a:alpha val="40000"/>
            </a:schemeClr>
          </a:outerShdw>
        </a:effectLst>
      </xdr:spPr>
      <xdr:style>
        <a:lnRef idx="2">
          <a:schemeClr val="accent3"/>
        </a:lnRef>
        <a:fillRef idx="1">
          <a:schemeClr val="lt1"/>
        </a:fillRef>
        <a:effectRef idx="0">
          <a:schemeClr val="accent3"/>
        </a:effectRef>
        <a:fontRef idx="minor">
          <a:schemeClr val="dk1"/>
        </a:fontRef>
      </xdr:style>
      <xdr:txBody>
        <a:bodyPr vertOverflow="clip" wrap="square" rtlCol="0" anchor="t"/>
        <a:lstStyle/>
        <a:p>
          <a:pPr algn="ctr"/>
          <a:r>
            <a:rPr lang="en-GB" sz="1200" b="0" u="none" cap="none" spc="0">
              <a:ln>
                <a:noFill/>
              </a:ln>
              <a:solidFill>
                <a:schemeClr val="tx1"/>
              </a:solidFill>
              <a:effectLst/>
            </a:rPr>
            <a:t>Water</a:t>
          </a:r>
          <a:endParaRPr lang="en-GB" sz="1200" b="0" u="none" cap="none" spc="0" baseline="0">
            <a:ln>
              <a:noFill/>
            </a:ln>
            <a:solidFill>
              <a:schemeClr val="tx1"/>
            </a:solidFill>
            <a:effectLst/>
          </a:endParaRPr>
        </a:p>
      </xdr:txBody>
    </xdr:sp>
    <xdr:clientData fPrintsWithSheet="0"/>
  </xdr:twoCellAnchor>
  <xdr:twoCellAnchor editAs="absolute">
    <xdr:from>
      <xdr:col>3</xdr:col>
      <xdr:colOff>5254425</xdr:colOff>
      <xdr:row>6</xdr:row>
      <xdr:rowOff>194473</xdr:rowOff>
    </xdr:from>
    <xdr:to>
      <xdr:col>3</xdr:col>
      <xdr:colOff>6129721</xdr:colOff>
      <xdr:row>8</xdr:row>
      <xdr:rowOff>72184</xdr:rowOff>
    </xdr:to>
    <xdr:sp macro="" textlink="">
      <xdr:nvSpPr>
        <xdr:cNvPr id="19" name="TextBox 18">
          <a:hlinkClick xmlns:r="http://schemas.openxmlformats.org/officeDocument/2006/relationships" r:id="rId4"/>
          <a:extLst>
            <a:ext uri="{FF2B5EF4-FFF2-40B4-BE49-F238E27FC236}">
              <a16:creationId xmlns:a16="http://schemas.microsoft.com/office/drawing/2014/main" id="{00000000-0008-0000-0300-000013000000}"/>
            </a:ext>
          </a:extLst>
        </xdr:cNvPr>
        <xdr:cNvSpPr txBox="1"/>
      </xdr:nvSpPr>
      <xdr:spPr>
        <a:xfrm>
          <a:off x="5734652" y="1649528"/>
          <a:ext cx="875296" cy="269692"/>
        </a:xfrm>
        <a:prstGeom prst="rect">
          <a:avLst/>
        </a:prstGeom>
        <a:solidFill>
          <a:sysClr val="window" lastClr="FFFFFF"/>
        </a:solidFill>
        <a:ln w="12700" cap="rnd">
          <a:solidFill>
            <a:srgbClr val="3D6864"/>
          </a:solidFill>
          <a:bevel/>
        </a:ln>
        <a:effectLst>
          <a:outerShdw blurRad="50800" dist="38100" dir="8100000" algn="tr"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vertOverflow="clip" wrap="square" rtlCol="0" anchor="t"/>
        <a:lstStyle/>
        <a:p>
          <a:pPr marL="0" indent="0" algn="ctr"/>
          <a:r>
            <a:rPr lang="en-GB" sz="1200" b="0" u="none" cap="none" spc="0">
              <a:ln>
                <a:noFill/>
              </a:ln>
              <a:solidFill>
                <a:schemeClr val="tx1"/>
              </a:solidFill>
              <a:effectLst/>
              <a:latin typeface="+mn-lt"/>
              <a:ea typeface="+mn-ea"/>
              <a:cs typeface="+mn-cs"/>
            </a:rPr>
            <a:t>Materials</a:t>
          </a:r>
        </a:p>
      </xdr:txBody>
    </xdr:sp>
    <xdr:clientData fPrintsWithSheet="0"/>
  </xdr:twoCellAnchor>
  <xdr:twoCellAnchor editAs="absolute">
    <xdr:from>
      <xdr:col>3</xdr:col>
      <xdr:colOff>6215037</xdr:colOff>
      <xdr:row>6</xdr:row>
      <xdr:rowOff>194236</xdr:rowOff>
    </xdr:from>
    <xdr:to>
      <xdr:col>3</xdr:col>
      <xdr:colOff>7083238</xdr:colOff>
      <xdr:row>8</xdr:row>
      <xdr:rowOff>71608</xdr:rowOff>
    </xdr:to>
    <xdr:sp macro="" textlink="">
      <xdr:nvSpPr>
        <xdr:cNvPr id="20" name="TextBox 19">
          <a:hlinkClick xmlns:r="http://schemas.openxmlformats.org/officeDocument/2006/relationships" r:id="rId5"/>
          <a:extLst>
            <a:ext uri="{FF2B5EF4-FFF2-40B4-BE49-F238E27FC236}">
              <a16:creationId xmlns:a16="http://schemas.microsoft.com/office/drawing/2014/main" id="{00000000-0008-0000-0300-000014000000}"/>
            </a:ext>
          </a:extLst>
        </xdr:cNvPr>
        <xdr:cNvSpPr txBox="1"/>
      </xdr:nvSpPr>
      <xdr:spPr>
        <a:xfrm>
          <a:off x="6693930" y="1649523"/>
          <a:ext cx="862486" cy="271258"/>
        </a:xfrm>
        <a:prstGeom prst="rect">
          <a:avLst/>
        </a:prstGeom>
        <a:solidFill>
          <a:sysClr val="window" lastClr="FFFFFF"/>
        </a:solidFill>
        <a:ln w="12700" cap="rnd">
          <a:solidFill>
            <a:srgbClr val="3D6864"/>
          </a:solidFill>
          <a:bevel/>
        </a:ln>
        <a:effectLst>
          <a:outerShdw blurRad="50800" dist="38100" dir="8100000" algn="tr"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vertOverflow="clip" wrap="square" rtlCol="0" anchor="t"/>
        <a:lstStyle/>
        <a:p>
          <a:pPr algn="ctr"/>
          <a:r>
            <a:rPr lang="en-GB" sz="1200" b="0" u="none" cap="none" spc="0">
              <a:ln>
                <a:noFill/>
              </a:ln>
              <a:solidFill>
                <a:schemeClr val="tx1"/>
              </a:solidFill>
              <a:effectLst/>
            </a:rPr>
            <a:t>Waste</a:t>
          </a:r>
          <a:endParaRPr lang="en-GB" sz="1200" b="0" u="none" cap="none" spc="0" baseline="0">
            <a:ln>
              <a:noFill/>
            </a:ln>
            <a:solidFill>
              <a:schemeClr val="tx1"/>
            </a:solidFill>
            <a:effectLst/>
          </a:endParaRPr>
        </a:p>
      </xdr:txBody>
    </xdr:sp>
    <xdr:clientData fPrintsWithSheet="0"/>
  </xdr:twoCellAnchor>
  <xdr:twoCellAnchor editAs="absolute">
    <xdr:from>
      <xdr:col>3</xdr:col>
      <xdr:colOff>7158385</xdr:colOff>
      <xdr:row>6</xdr:row>
      <xdr:rowOff>195257</xdr:rowOff>
    </xdr:from>
    <xdr:to>
      <xdr:col>4</xdr:col>
      <xdr:colOff>79095</xdr:colOff>
      <xdr:row>8</xdr:row>
      <xdr:rowOff>71857</xdr:rowOff>
    </xdr:to>
    <xdr:sp macro="" textlink="">
      <xdr:nvSpPr>
        <xdr:cNvPr id="21" name="TextBox 20">
          <a:hlinkClick xmlns:r="http://schemas.openxmlformats.org/officeDocument/2006/relationships" r:id="rId6"/>
          <a:extLst>
            <a:ext uri="{FF2B5EF4-FFF2-40B4-BE49-F238E27FC236}">
              <a16:creationId xmlns:a16="http://schemas.microsoft.com/office/drawing/2014/main" id="{00000000-0008-0000-0300-000015000000}"/>
            </a:ext>
          </a:extLst>
        </xdr:cNvPr>
        <xdr:cNvSpPr txBox="1"/>
      </xdr:nvSpPr>
      <xdr:spPr>
        <a:xfrm>
          <a:off x="7636903" y="1647492"/>
          <a:ext cx="864000" cy="268581"/>
        </a:xfrm>
        <a:prstGeom prst="rect">
          <a:avLst/>
        </a:prstGeom>
        <a:solidFill>
          <a:sysClr val="window" lastClr="FFFFFF"/>
        </a:solidFill>
        <a:ln w="12700" cap="rnd">
          <a:solidFill>
            <a:srgbClr val="3D6864"/>
          </a:solidFill>
          <a:bevel/>
        </a:ln>
        <a:effectLst>
          <a:outerShdw blurRad="50800" dist="38100" dir="8100000" algn="tr"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vertOverflow="clip" wrap="square" rtlCol="0" anchor="t"/>
        <a:lstStyle/>
        <a:p>
          <a:pPr algn="ctr"/>
          <a:r>
            <a:rPr lang="en-GB" sz="1200" b="0" u="none" cap="none" spc="0">
              <a:ln>
                <a:noFill/>
              </a:ln>
              <a:solidFill>
                <a:schemeClr val="tx1"/>
              </a:solidFill>
              <a:effectLst/>
            </a:rPr>
            <a:t>LU&amp;E</a:t>
          </a:r>
          <a:endParaRPr lang="en-GB" sz="1200" b="0" u="none" cap="none" spc="0" baseline="0">
            <a:ln>
              <a:noFill/>
            </a:ln>
            <a:solidFill>
              <a:schemeClr val="tx1"/>
            </a:solidFill>
            <a:effectLst/>
          </a:endParaRPr>
        </a:p>
      </xdr:txBody>
    </xdr:sp>
    <xdr:clientData fPrintsWithSheet="0"/>
  </xdr:twoCellAnchor>
  <xdr:twoCellAnchor editAs="absolute">
    <xdr:from>
      <xdr:col>4</xdr:col>
      <xdr:colOff>187609</xdr:colOff>
      <xdr:row>7</xdr:row>
      <xdr:rowOff>2332</xdr:rowOff>
    </xdr:from>
    <xdr:to>
      <xdr:col>4</xdr:col>
      <xdr:colOff>1030219</xdr:colOff>
      <xdr:row>8</xdr:row>
      <xdr:rowOff>71627</xdr:rowOff>
    </xdr:to>
    <xdr:sp macro="" textlink="">
      <xdr:nvSpPr>
        <xdr:cNvPr id="22" name="TextBox 21">
          <a:hlinkClick xmlns:r="http://schemas.openxmlformats.org/officeDocument/2006/relationships" r:id="rId7"/>
          <a:extLst>
            <a:ext uri="{FF2B5EF4-FFF2-40B4-BE49-F238E27FC236}">
              <a16:creationId xmlns:a16="http://schemas.microsoft.com/office/drawing/2014/main" id="{00000000-0008-0000-0300-000016000000}"/>
            </a:ext>
          </a:extLst>
        </xdr:cNvPr>
        <xdr:cNvSpPr txBox="1"/>
      </xdr:nvSpPr>
      <xdr:spPr>
        <a:xfrm>
          <a:off x="8587899" y="1651404"/>
          <a:ext cx="855015" cy="269768"/>
        </a:xfrm>
        <a:prstGeom prst="rect">
          <a:avLst/>
        </a:prstGeom>
        <a:solidFill>
          <a:sysClr val="window" lastClr="FFFFFF"/>
        </a:solidFill>
        <a:ln w="12700" cap="rnd">
          <a:solidFill>
            <a:srgbClr val="3D6864"/>
          </a:solidFill>
          <a:bevel/>
        </a:ln>
        <a:effectLst>
          <a:outerShdw blurRad="50800" dist="38100" dir="8100000" algn="tr" rotWithShape="0">
            <a:schemeClr val="tx1">
              <a:alpha val="40000"/>
            </a:schemeClr>
          </a:outerShdw>
        </a:effectLst>
      </xdr:spPr>
      <xdr:style>
        <a:lnRef idx="2">
          <a:schemeClr val="accent3"/>
        </a:lnRef>
        <a:fillRef idx="1">
          <a:schemeClr val="lt1"/>
        </a:fillRef>
        <a:effectRef idx="0">
          <a:schemeClr val="accent3"/>
        </a:effectRef>
        <a:fontRef idx="minor">
          <a:schemeClr val="dk1"/>
        </a:fontRef>
      </xdr:style>
      <xdr:txBody>
        <a:bodyPr vertOverflow="clip" wrap="square" rtlCol="0" anchor="t"/>
        <a:lstStyle/>
        <a:p>
          <a:pPr algn="ctr"/>
          <a:r>
            <a:rPr lang="en-GB" sz="1200" b="0" u="none" cap="none" spc="0">
              <a:ln>
                <a:noFill/>
              </a:ln>
              <a:solidFill>
                <a:schemeClr val="tx1"/>
              </a:solidFill>
              <a:effectLst/>
            </a:rPr>
            <a:t>Pollution</a:t>
          </a:r>
          <a:endParaRPr lang="en-GB" sz="1200" b="0" u="none" cap="none" spc="0" baseline="0">
            <a:ln>
              <a:noFill/>
            </a:ln>
            <a:solidFill>
              <a:schemeClr val="tx1"/>
            </a:solidFill>
            <a:effectLst/>
          </a:endParaRPr>
        </a:p>
      </xdr:txBody>
    </xdr:sp>
    <xdr:clientData fPrintsWithSheet="0"/>
  </xdr:twoCellAnchor>
  <xdr:twoCellAnchor editAs="absolute">
    <xdr:from>
      <xdr:col>4</xdr:col>
      <xdr:colOff>1139123</xdr:colOff>
      <xdr:row>6</xdr:row>
      <xdr:rowOff>193851</xdr:rowOff>
    </xdr:from>
    <xdr:to>
      <xdr:col>4</xdr:col>
      <xdr:colOff>2010743</xdr:colOff>
      <xdr:row>8</xdr:row>
      <xdr:rowOff>71638</xdr:rowOff>
    </xdr:to>
    <xdr:sp macro="" textlink="">
      <xdr:nvSpPr>
        <xdr:cNvPr id="23" name="TextBox 22">
          <a:hlinkClick xmlns:r="http://schemas.openxmlformats.org/officeDocument/2006/relationships" r:id="rId8"/>
          <a:extLst>
            <a:ext uri="{FF2B5EF4-FFF2-40B4-BE49-F238E27FC236}">
              <a16:creationId xmlns:a16="http://schemas.microsoft.com/office/drawing/2014/main" id="{00000000-0008-0000-0300-000017000000}"/>
            </a:ext>
          </a:extLst>
        </xdr:cNvPr>
        <xdr:cNvSpPr txBox="1"/>
      </xdr:nvSpPr>
      <xdr:spPr>
        <a:xfrm>
          <a:off x="9546103" y="1647605"/>
          <a:ext cx="864000" cy="269768"/>
        </a:xfrm>
        <a:prstGeom prst="rect">
          <a:avLst/>
        </a:prstGeom>
        <a:solidFill>
          <a:sysClr val="window" lastClr="FFFFFF"/>
        </a:solidFill>
        <a:ln w="12700" cap="rnd">
          <a:solidFill>
            <a:srgbClr val="3D6864"/>
          </a:solidFill>
          <a:bevel/>
        </a:ln>
        <a:effectLst>
          <a:outerShdw blurRad="50800" dist="38100" dir="8100000" algn="tr"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vertOverflow="clip" wrap="square" rtlCol="0" anchor="t"/>
        <a:lstStyle/>
        <a:p>
          <a:pPr marL="0" indent="0" algn="ctr"/>
          <a:r>
            <a:rPr lang="en-GB" sz="1200" b="0" u="none" cap="none" spc="0">
              <a:ln>
                <a:noFill/>
              </a:ln>
              <a:solidFill>
                <a:schemeClr val="tx1"/>
              </a:solidFill>
              <a:effectLst/>
              <a:latin typeface="+mn-lt"/>
              <a:ea typeface="+mn-ea"/>
              <a:cs typeface="+mn-cs"/>
            </a:rPr>
            <a:t>Exmp L&amp;In</a:t>
          </a:r>
        </a:p>
      </xdr:txBody>
    </xdr:sp>
    <xdr:clientData fPrintsWithSheet="0"/>
  </xdr:twoCellAnchor>
  <xdr:twoCellAnchor editAs="absolute">
    <xdr:from>
      <xdr:col>3</xdr:col>
      <xdr:colOff>1443940</xdr:colOff>
      <xdr:row>7</xdr:row>
      <xdr:rowOff>3639</xdr:rowOff>
    </xdr:from>
    <xdr:to>
      <xdr:col>3</xdr:col>
      <xdr:colOff>2288890</xdr:colOff>
      <xdr:row>8</xdr:row>
      <xdr:rowOff>71641</xdr:rowOff>
    </xdr:to>
    <xdr:sp macro="" textlink="">
      <xdr:nvSpPr>
        <xdr:cNvPr id="24" name="TextBox 23">
          <a:hlinkClick xmlns:r="http://schemas.openxmlformats.org/officeDocument/2006/relationships" r:id="rId9"/>
          <a:extLst>
            <a:ext uri="{FF2B5EF4-FFF2-40B4-BE49-F238E27FC236}">
              <a16:creationId xmlns:a16="http://schemas.microsoft.com/office/drawing/2014/main" id="{00000000-0008-0000-0300-000018000000}"/>
            </a:ext>
          </a:extLst>
        </xdr:cNvPr>
        <xdr:cNvSpPr txBox="1"/>
      </xdr:nvSpPr>
      <xdr:spPr>
        <a:xfrm>
          <a:off x="1912954" y="1658322"/>
          <a:ext cx="864000" cy="267802"/>
        </a:xfrm>
        <a:prstGeom prst="rect">
          <a:avLst/>
        </a:prstGeom>
        <a:solidFill>
          <a:sysClr val="window" lastClr="FFFFFF"/>
        </a:solidFill>
        <a:ln w="12700" cap="rnd">
          <a:solidFill>
            <a:srgbClr val="3D6864"/>
          </a:solidFill>
          <a:bevel/>
        </a:ln>
        <a:effectLst>
          <a:outerShdw blurRad="50800" dist="38100" dir="8100000" algn="tr"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vertOverflow="clip" wrap="square" rtlCol="0" anchor="t"/>
        <a:lstStyle/>
        <a:p>
          <a:pPr marL="0" indent="0" algn="ctr"/>
          <a:r>
            <a:rPr lang="en-GB" sz="1200" b="0" u="none" cap="none" spc="0">
              <a:ln>
                <a:noFill/>
              </a:ln>
              <a:solidFill>
                <a:schemeClr val="tx1"/>
              </a:solidFill>
              <a:effectLst/>
              <a:latin typeface="+mn-lt"/>
              <a:ea typeface="+mn-ea"/>
              <a:cs typeface="+mn-cs"/>
            </a:rPr>
            <a:t>H&amp;W</a:t>
          </a:r>
        </a:p>
      </xdr:txBody>
    </xdr:sp>
    <xdr:clientData fPrintsWithSheet="0"/>
  </xdr:twoCellAnchor>
  <xdr:twoCellAnchor editAs="absolute">
    <xdr:from>
      <xdr:col>3</xdr:col>
      <xdr:colOff>492499</xdr:colOff>
      <xdr:row>7</xdr:row>
      <xdr:rowOff>3695</xdr:rowOff>
    </xdr:from>
    <xdr:to>
      <xdr:col>3</xdr:col>
      <xdr:colOff>1367929</xdr:colOff>
      <xdr:row>8</xdr:row>
      <xdr:rowOff>71697</xdr:rowOff>
    </xdr:to>
    <xdr:sp macro="" textlink="">
      <xdr:nvSpPr>
        <xdr:cNvPr id="25" name="TextBox 24">
          <a:hlinkClick xmlns:r="http://schemas.openxmlformats.org/officeDocument/2006/relationships" r:id="rId10"/>
          <a:extLst>
            <a:ext uri="{FF2B5EF4-FFF2-40B4-BE49-F238E27FC236}">
              <a16:creationId xmlns:a16="http://schemas.microsoft.com/office/drawing/2014/main" id="{00000000-0008-0000-0300-000019000000}"/>
            </a:ext>
          </a:extLst>
        </xdr:cNvPr>
        <xdr:cNvSpPr txBox="1"/>
      </xdr:nvSpPr>
      <xdr:spPr>
        <a:xfrm>
          <a:off x="976507" y="1655020"/>
          <a:ext cx="864000" cy="267802"/>
        </a:xfrm>
        <a:prstGeom prst="rect">
          <a:avLst/>
        </a:prstGeom>
        <a:solidFill>
          <a:sysClr val="window" lastClr="FFFFFF"/>
        </a:solidFill>
        <a:ln w="12700" cap="rnd">
          <a:solidFill>
            <a:srgbClr val="3D6864"/>
          </a:solidFill>
          <a:bevel/>
        </a:ln>
        <a:effectLst>
          <a:outerShdw blurRad="50800" dist="38100" dir="8100000" algn="tr"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vertOverflow="clip" wrap="square" rtlCol="0" anchor="t"/>
        <a:lstStyle/>
        <a:p>
          <a:pPr marL="0" indent="0" algn="ctr"/>
          <a:r>
            <a:rPr lang="en-GB" sz="1200" b="0" u="none" cap="none" spc="0">
              <a:ln>
                <a:noFill/>
              </a:ln>
              <a:solidFill>
                <a:schemeClr val="tx1"/>
              </a:solidFill>
              <a:effectLst/>
              <a:latin typeface="+mn-lt"/>
              <a:ea typeface="+mn-ea"/>
              <a:cs typeface="+mn-cs"/>
            </a:rPr>
            <a:t>Man</a:t>
          </a:r>
        </a:p>
      </xdr:txBody>
    </xdr:sp>
    <xdr:clientData fPrintsWithSheet="0"/>
  </xdr:twoCellAnchor>
  <xdr:twoCellAnchor>
    <xdr:from>
      <xdr:col>8</xdr:col>
      <xdr:colOff>147357</xdr:colOff>
      <xdr:row>3</xdr:row>
      <xdr:rowOff>169209</xdr:rowOff>
    </xdr:from>
    <xdr:to>
      <xdr:col>8</xdr:col>
      <xdr:colOff>457200</xdr:colOff>
      <xdr:row>5</xdr:row>
      <xdr:rowOff>28575</xdr:rowOff>
    </xdr:to>
    <xdr:sp macro="" textlink="">
      <xdr:nvSpPr>
        <xdr:cNvPr id="27" name="Rectangle 10">
          <a:extLst>
            <a:ext uri="{FF2B5EF4-FFF2-40B4-BE49-F238E27FC236}">
              <a16:creationId xmlns:a16="http://schemas.microsoft.com/office/drawing/2014/main" id="{00000000-0008-0000-0300-00001B000000}"/>
            </a:ext>
          </a:extLst>
        </xdr:cNvPr>
        <xdr:cNvSpPr/>
      </xdr:nvSpPr>
      <xdr:spPr bwMode="auto">
        <a:xfrm>
          <a:off x="14939682" y="1007409"/>
          <a:ext cx="309843" cy="240366"/>
        </a:xfrm>
        <a:prstGeom prst="rect">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132789</xdr:colOff>
      <xdr:row>1</xdr:row>
      <xdr:rowOff>14009</xdr:rowOff>
    </xdr:from>
    <xdr:to>
      <xdr:col>8</xdr:col>
      <xdr:colOff>442632</xdr:colOff>
      <xdr:row>1</xdr:row>
      <xdr:rowOff>254375</xdr:rowOff>
    </xdr:to>
    <xdr:sp macro="" textlink="">
      <xdr:nvSpPr>
        <xdr:cNvPr id="29" name="Rectangle 10">
          <a:extLst>
            <a:ext uri="{FF2B5EF4-FFF2-40B4-BE49-F238E27FC236}">
              <a16:creationId xmlns:a16="http://schemas.microsoft.com/office/drawing/2014/main" id="{36EC64DB-96BF-4FAA-BB02-E88FD8F52A84}"/>
            </a:ext>
          </a:extLst>
        </xdr:cNvPr>
        <xdr:cNvSpPr/>
      </xdr:nvSpPr>
      <xdr:spPr bwMode="auto">
        <a:xfrm>
          <a:off x="14925114" y="204509"/>
          <a:ext cx="309843" cy="24036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6</xdr:col>
      <xdr:colOff>324971</xdr:colOff>
      <xdr:row>0</xdr:row>
      <xdr:rowOff>134470</xdr:rowOff>
    </xdr:from>
    <xdr:to>
      <xdr:col>8</xdr:col>
      <xdr:colOff>41797</xdr:colOff>
      <xdr:row>2</xdr:row>
      <xdr:rowOff>42758</xdr:rowOff>
    </xdr:to>
    <xdr:pic>
      <xdr:nvPicPr>
        <xdr:cNvPr id="26" name="Bilde 27">
          <a:extLst>
            <a:ext uri="{FF2B5EF4-FFF2-40B4-BE49-F238E27FC236}">
              <a16:creationId xmlns:a16="http://schemas.microsoft.com/office/drawing/2014/main" id="{A27BB0A2-E386-415F-840A-CC6BF68CFF8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404912" y="134470"/>
          <a:ext cx="2419349" cy="5713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8967</xdr:colOff>
      <xdr:row>11</xdr:row>
      <xdr:rowOff>96932</xdr:rowOff>
    </xdr:from>
    <xdr:to>
      <xdr:col>7</xdr:col>
      <xdr:colOff>428625</xdr:colOff>
      <xdr:row>28</xdr:row>
      <xdr:rowOff>141755</xdr:rowOff>
    </xdr:to>
    <xdr:graphicFrame macro="">
      <xdr:nvGraphicFramePr>
        <xdr:cNvPr id="6" name="Chart 4">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485776</xdr:colOff>
      <xdr:row>11</xdr:row>
      <xdr:rowOff>96929</xdr:rowOff>
    </xdr:from>
    <xdr:to>
      <xdr:col>13</xdr:col>
      <xdr:colOff>161926</xdr:colOff>
      <xdr:row>28</xdr:row>
      <xdr:rowOff>169208</xdr:rowOff>
    </xdr:to>
    <xdr:graphicFrame macro="">
      <xdr:nvGraphicFramePr>
        <xdr:cNvPr id="8" name="Chart 4">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390525</xdr:colOff>
      <xdr:row>24</xdr:row>
      <xdr:rowOff>9525</xdr:rowOff>
    </xdr:from>
    <xdr:to>
      <xdr:col>8</xdr:col>
      <xdr:colOff>666750</xdr:colOff>
      <xdr:row>25</xdr:row>
      <xdr:rowOff>47625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6181725" y="5391150"/>
          <a:ext cx="12763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Unclassified</a:t>
          </a:r>
        </a:p>
      </xdr:txBody>
    </xdr:sp>
    <xdr:clientData/>
  </xdr:twoCellAnchor>
  <xdr:twoCellAnchor>
    <xdr:from>
      <xdr:col>7</xdr:col>
      <xdr:colOff>752475</xdr:colOff>
      <xdr:row>21</xdr:row>
      <xdr:rowOff>76199</xdr:rowOff>
    </xdr:from>
    <xdr:to>
      <xdr:col>8</xdr:col>
      <xdr:colOff>228600</xdr:colOff>
      <xdr:row>22</xdr:row>
      <xdr:rowOff>142874</xdr:rowOff>
    </xdr:to>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6543675" y="4886324"/>
          <a:ext cx="4762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Pass</a:t>
          </a:r>
        </a:p>
      </xdr:txBody>
    </xdr:sp>
    <xdr:clientData/>
  </xdr:twoCellAnchor>
  <xdr:twoCellAnchor>
    <xdr:from>
      <xdr:col>7</xdr:col>
      <xdr:colOff>723900</xdr:colOff>
      <xdr:row>18</xdr:row>
      <xdr:rowOff>190499</xdr:rowOff>
    </xdr:from>
    <xdr:to>
      <xdr:col>8</xdr:col>
      <xdr:colOff>209550</xdr:colOff>
      <xdr:row>20</xdr:row>
      <xdr:rowOff>66674</xdr:rowOff>
    </xdr:to>
    <xdr:sp macro="" textlink="">
      <xdr:nvSpPr>
        <xdr:cNvPr id="10" name="TextBox 9">
          <a:extLst>
            <a:ext uri="{FF2B5EF4-FFF2-40B4-BE49-F238E27FC236}">
              <a16:creationId xmlns:a16="http://schemas.microsoft.com/office/drawing/2014/main" id="{00000000-0008-0000-0600-00000A000000}"/>
            </a:ext>
          </a:extLst>
        </xdr:cNvPr>
        <xdr:cNvSpPr txBox="1"/>
      </xdr:nvSpPr>
      <xdr:spPr>
        <a:xfrm>
          <a:off x="6515100" y="4429124"/>
          <a:ext cx="4857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Good</a:t>
          </a:r>
        </a:p>
      </xdr:txBody>
    </xdr:sp>
    <xdr:clientData/>
  </xdr:twoCellAnchor>
  <xdr:twoCellAnchor>
    <xdr:from>
      <xdr:col>7</xdr:col>
      <xdr:colOff>447675</xdr:colOff>
      <xdr:row>16</xdr:row>
      <xdr:rowOff>85725</xdr:rowOff>
    </xdr:from>
    <xdr:to>
      <xdr:col>8</xdr:col>
      <xdr:colOff>485775</xdr:colOff>
      <xdr:row>17</xdr:row>
      <xdr:rowOff>180975</xdr:rowOff>
    </xdr:to>
    <xdr:sp macro="" textlink="">
      <xdr:nvSpPr>
        <xdr:cNvPr id="11" name="TextBox 10">
          <a:extLst>
            <a:ext uri="{FF2B5EF4-FFF2-40B4-BE49-F238E27FC236}">
              <a16:creationId xmlns:a16="http://schemas.microsoft.com/office/drawing/2014/main" id="{00000000-0008-0000-0600-00000B000000}"/>
            </a:ext>
          </a:extLst>
        </xdr:cNvPr>
        <xdr:cNvSpPr txBox="1"/>
      </xdr:nvSpPr>
      <xdr:spPr>
        <a:xfrm>
          <a:off x="6238875" y="3943350"/>
          <a:ext cx="1038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Very Good</a:t>
          </a:r>
        </a:p>
      </xdr:txBody>
    </xdr:sp>
    <xdr:clientData/>
  </xdr:twoCellAnchor>
  <xdr:twoCellAnchor>
    <xdr:from>
      <xdr:col>7</xdr:col>
      <xdr:colOff>523875</xdr:colOff>
      <xdr:row>14</xdr:row>
      <xdr:rowOff>9525</xdr:rowOff>
    </xdr:from>
    <xdr:to>
      <xdr:col>8</xdr:col>
      <xdr:colOff>466725</xdr:colOff>
      <xdr:row>15</xdr:row>
      <xdr:rowOff>66675</xdr:rowOff>
    </xdr:to>
    <xdr:sp macro="" textlink="">
      <xdr:nvSpPr>
        <xdr:cNvPr id="12" name="TextBox 11">
          <a:extLst>
            <a:ext uri="{FF2B5EF4-FFF2-40B4-BE49-F238E27FC236}">
              <a16:creationId xmlns:a16="http://schemas.microsoft.com/office/drawing/2014/main" id="{00000000-0008-0000-0600-00000C000000}"/>
            </a:ext>
          </a:extLst>
        </xdr:cNvPr>
        <xdr:cNvSpPr txBox="1"/>
      </xdr:nvSpPr>
      <xdr:spPr>
        <a:xfrm>
          <a:off x="6315075" y="3486150"/>
          <a:ext cx="9429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Excellent</a:t>
          </a:r>
        </a:p>
      </xdr:txBody>
    </xdr:sp>
    <xdr:clientData/>
  </xdr:twoCellAnchor>
  <xdr:twoCellAnchor>
    <xdr:from>
      <xdr:col>7</xdr:col>
      <xdr:colOff>371475</xdr:colOff>
      <xdr:row>11</xdr:row>
      <xdr:rowOff>95250</xdr:rowOff>
    </xdr:from>
    <xdr:to>
      <xdr:col>8</xdr:col>
      <xdr:colOff>647700</xdr:colOff>
      <xdr:row>12</xdr:row>
      <xdr:rowOff>133350</xdr:rowOff>
    </xdr:to>
    <xdr:sp macro="" textlink="">
      <xdr:nvSpPr>
        <xdr:cNvPr id="13" name="TextBox 12">
          <a:extLst>
            <a:ext uri="{FF2B5EF4-FFF2-40B4-BE49-F238E27FC236}">
              <a16:creationId xmlns:a16="http://schemas.microsoft.com/office/drawing/2014/main" id="{00000000-0008-0000-0600-00000D000000}"/>
            </a:ext>
          </a:extLst>
        </xdr:cNvPr>
        <xdr:cNvSpPr txBox="1"/>
      </xdr:nvSpPr>
      <xdr:spPr>
        <a:xfrm>
          <a:off x="6162675" y="3000375"/>
          <a:ext cx="12763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Outstanding</a:t>
          </a:r>
        </a:p>
      </xdr:txBody>
    </xdr:sp>
    <xdr:clientData/>
  </xdr:twoCellAnchor>
  <xdr:twoCellAnchor editAs="oneCell">
    <xdr:from>
      <xdr:col>10</xdr:col>
      <xdr:colOff>1000125</xdr:colOff>
      <xdr:row>0</xdr:row>
      <xdr:rowOff>133350</xdr:rowOff>
    </xdr:from>
    <xdr:to>
      <xdr:col>13</xdr:col>
      <xdr:colOff>28574</xdr:colOff>
      <xdr:row>2</xdr:row>
      <xdr:rowOff>66515</xdr:rowOff>
    </xdr:to>
    <xdr:pic>
      <xdr:nvPicPr>
        <xdr:cNvPr id="14" name="Bilde 14">
          <a:extLst>
            <a:ext uri="{FF2B5EF4-FFF2-40B4-BE49-F238E27FC236}">
              <a16:creationId xmlns:a16="http://schemas.microsoft.com/office/drawing/2014/main" id="{BC9DA1DB-FDEB-46B3-93A8-BE90F52E826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648825" y="133350"/>
          <a:ext cx="2419349" cy="5713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2581275</xdr:colOff>
      <xdr:row>0</xdr:row>
      <xdr:rowOff>142875</xdr:rowOff>
    </xdr:from>
    <xdr:to>
      <xdr:col>6</xdr:col>
      <xdr:colOff>38099</xdr:colOff>
      <xdr:row>2</xdr:row>
      <xdr:rowOff>76040</xdr:rowOff>
    </xdr:to>
    <xdr:pic>
      <xdr:nvPicPr>
        <xdr:cNvPr id="4" name="Bilde 2">
          <a:extLst>
            <a:ext uri="{FF2B5EF4-FFF2-40B4-BE49-F238E27FC236}">
              <a16:creationId xmlns:a16="http://schemas.microsoft.com/office/drawing/2014/main" id="{1745EBFD-24F6-4619-86CC-74F73E9B60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0400" y="142875"/>
          <a:ext cx="2419349" cy="5713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47625</xdr:colOff>
      <xdr:row>0</xdr:row>
      <xdr:rowOff>142875</xdr:rowOff>
    </xdr:from>
    <xdr:to>
      <xdr:col>16</xdr:col>
      <xdr:colOff>34289</xdr:colOff>
      <xdr:row>2</xdr:row>
      <xdr:rowOff>76040</xdr:rowOff>
    </xdr:to>
    <xdr:pic>
      <xdr:nvPicPr>
        <xdr:cNvPr id="4" name="Bilde 2">
          <a:extLst>
            <a:ext uri="{FF2B5EF4-FFF2-40B4-BE49-F238E27FC236}">
              <a16:creationId xmlns:a16="http://schemas.microsoft.com/office/drawing/2014/main" id="{7D7A1D00-9987-47A2-8B9F-AF9E14DEC9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4325" y="142875"/>
          <a:ext cx="2419349" cy="5713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8"/>
  <sheetViews>
    <sheetView showGridLines="0" tabSelected="1" zoomScaleNormal="100" workbookViewId="0">
      <selection activeCell="B6" sqref="B6:P6"/>
    </sheetView>
  </sheetViews>
  <sheetFormatPr defaultColWidth="9.140625" defaultRowHeight="15" x14ac:dyDescent="0.25"/>
  <cols>
    <col min="1" max="1" width="3.42578125" style="1225" customWidth="1"/>
    <col min="2" max="2" width="10.42578125" style="1225" customWidth="1"/>
    <col min="3" max="3" width="9.140625" style="1225"/>
    <col min="4" max="4" width="15.5703125" style="1225" bestFit="1" customWidth="1"/>
    <col min="5" max="11" width="9.140625" style="1225"/>
    <col min="12" max="12" width="11.42578125" style="1225" customWidth="1"/>
    <col min="13" max="16384" width="9.140625" style="1225"/>
  </cols>
  <sheetData>
    <row r="1" spans="1:21" x14ac:dyDescent="0.25">
      <c r="A1" s="1224"/>
      <c r="B1" s="1224"/>
      <c r="C1" s="1224"/>
      <c r="D1" s="1224"/>
      <c r="E1" s="1224"/>
      <c r="F1" s="1224"/>
      <c r="G1" s="1224"/>
      <c r="H1" s="1224"/>
      <c r="I1" s="1224"/>
      <c r="J1" s="1224"/>
      <c r="K1" s="1224"/>
      <c r="L1" s="1224"/>
      <c r="M1" s="1224"/>
      <c r="N1" s="1224"/>
      <c r="O1" s="1224"/>
      <c r="P1" s="1224"/>
    </row>
    <row r="2" spans="1:21" ht="21" customHeight="1" x14ac:dyDescent="0.25">
      <c r="A2" s="1224"/>
      <c r="B2" s="1226" t="s">
        <v>962</v>
      </c>
      <c r="C2" s="1227"/>
      <c r="D2" s="1227"/>
      <c r="E2" s="1227"/>
      <c r="F2" s="1227"/>
      <c r="G2" s="1227"/>
      <c r="H2" s="1227"/>
      <c r="I2" s="1227"/>
      <c r="J2" s="1227"/>
      <c r="K2" s="1227"/>
      <c r="L2" s="1228"/>
      <c r="M2" s="1228"/>
      <c r="N2" s="1228"/>
      <c r="O2" s="1228"/>
      <c r="P2" s="1240" t="str">
        <f>IF('Manuell filtrering og justering'!H2='Manuell filtrering og justering'!I2,"Bespoke","")</f>
        <v/>
      </c>
    </row>
    <row r="3" spans="1:21" ht="21" x14ac:dyDescent="0.25">
      <c r="A3" s="1224"/>
      <c r="B3" s="1229" t="s">
        <v>5</v>
      </c>
      <c r="C3" s="1230" t="str">
        <f>TVC_current_version</f>
        <v>1.05</v>
      </c>
      <c r="D3" s="1231">
        <f>TVC_current_date</f>
        <v>43782</v>
      </c>
      <c r="E3" s="1232"/>
      <c r="F3" s="1232"/>
      <c r="G3" s="1232"/>
      <c r="H3" s="1232"/>
      <c r="I3" s="1232"/>
      <c r="J3" s="1232"/>
      <c r="K3" s="1232"/>
      <c r="L3" s="1233"/>
      <c r="M3" s="1233"/>
      <c r="N3" s="1233"/>
      <c r="O3" s="1233"/>
      <c r="P3" s="1234"/>
      <c r="Q3" s="1235"/>
      <c r="R3" s="1235"/>
    </row>
    <row r="4" spans="1:21" x14ac:dyDescent="0.25">
      <c r="A4" s="1236"/>
      <c r="B4" s="1237"/>
      <c r="C4" s="1236"/>
      <c r="D4" s="1236"/>
      <c r="E4" s="1236"/>
      <c r="F4" s="1236"/>
      <c r="G4" s="1236"/>
      <c r="H4" s="1236"/>
      <c r="I4" s="1236"/>
      <c r="J4" s="1236"/>
      <c r="K4" s="1236"/>
      <c r="L4" s="1236"/>
      <c r="M4" s="1236"/>
      <c r="N4" s="1236"/>
      <c r="O4" s="1236"/>
      <c r="P4" s="1236"/>
      <c r="Q4" s="1235"/>
      <c r="R4" s="1235"/>
      <c r="S4" s="1235"/>
      <c r="T4" s="1235"/>
      <c r="U4" s="1235"/>
    </row>
    <row r="5" spans="1:21" ht="138.75" customHeight="1" x14ac:dyDescent="0.25">
      <c r="A5" s="1236"/>
      <c r="B5" s="1339" t="s">
        <v>1248</v>
      </c>
      <c r="C5" s="1340"/>
      <c r="D5" s="1340"/>
      <c r="E5" s="1340"/>
      <c r="F5" s="1340"/>
      <c r="G5" s="1340"/>
      <c r="H5" s="1340"/>
      <c r="I5" s="1340"/>
      <c r="J5" s="1340"/>
      <c r="K5" s="1340"/>
      <c r="L5" s="1340"/>
      <c r="M5" s="1340"/>
      <c r="N5" s="1340"/>
      <c r="O5" s="1340"/>
      <c r="P5" s="1340"/>
      <c r="Q5" s="1235"/>
      <c r="R5" s="1235"/>
      <c r="S5" s="1235"/>
      <c r="T5" s="1235"/>
      <c r="U5" s="1235"/>
    </row>
    <row r="6" spans="1:21" ht="85.5" customHeight="1" x14ac:dyDescent="0.25">
      <c r="A6" s="1236"/>
      <c r="B6" s="1339" t="s">
        <v>1249</v>
      </c>
      <c r="C6" s="1340"/>
      <c r="D6" s="1340"/>
      <c r="E6" s="1340"/>
      <c r="F6" s="1340"/>
      <c r="G6" s="1340"/>
      <c r="H6" s="1340"/>
      <c r="I6" s="1340"/>
      <c r="J6" s="1340"/>
      <c r="K6" s="1340"/>
      <c r="L6" s="1340"/>
      <c r="M6" s="1340"/>
      <c r="N6" s="1340"/>
      <c r="O6" s="1340"/>
      <c r="P6" s="1340"/>
      <c r="Q6" s="1235"/>
      <c r="R6" s="1235"/>
      <c r="S6" s="1235"/>
      <c r="T6" s="1235"/>
      <c r="U6" s="1235"/>
    </row>
    <row r="7" spans="1:21" ht="87.75" customHeight="1" x14ac:dyDescent="0.25">
      <c r="A7" s="1236"/>
      <c r="B7" s="1339" t="s">
        <v>1250</v>
      </c>
      <c r="C7" s="1340"/>
      <c r="D7" s="1340"/>
      <c r="E7" s="1340"/>
      <c r="F7" s="1340"/>
      <c r="G7" s="1340"/>
      <c r="H7" s="1340"/>
      <c r="I7" s="1340"/>
      <c r="J7" s="1340"/>
      <c r="K7" s="1340"/>
      <c r="L7" s="1340"/>
      <c r="M7" s="1340"/>
      <c r="N7" s="1340"/>
      <c r="O7" s="1340"/>
      <c r="P7" s="1340"/>
      <c r="Q7" s="1235"/>
      <c r="R7" s="1235"/>
      <c r="S7" s="1235"/>
      <c r="T7" s="1235"/>
      <c r="U7" s="1235"/>
    </row>
    <row r="8" spans="1:21" x14ac:dyDescent="0.25">
      <c r="A8" s="1236"/>
      <c r="B8" s="1236"/>
      <c r="C8" s="1236"/>
      <c r="D8" s="1236"/>
      <c r="E8" s="1236"/>
      <c r="F8" s="1236"/>
      <c r="G8" s="1236"/>
      <c r="H8" s="1236"/>
      <c r="I8" s="1236"/>
      <c r="J8" s="1236"/>
      <c r="K8" s="1236"/>
      <c r="L8" s="1236"/>
      <c r="M8" s="1236"/>
      <c r="N8" s="1236"/>
      <c r="O8" s="1236"/>
      <c r="P8" s="1237"/>
      <c r="Q8" s="1235"/>
      <c r="R8" s="1235"/>
      <c r="S8" s="1235"/>
      <c r="T8" s="1235"/>
      <c r="U8" s="1235"/>
    </row>
    <row r="9" spans="1:21" x14ac:dyDescent="0.25">
      <c r="A9" s="1236"/>
      <c r="B9" s="1239" t="s">
        <v>1251</v>
      </c>
      <c r="C9" s="1236"/>
      <c r="D9" s="1236"/>
      <c r="E9" s="1236"/>
      <c r="F9" s="1236"/>
      <c r="G9" s="1236"/>
      <c r="H9" s="1236"/>
      <c r="I9" s="1236"/>
      <c r="J9" s="1236"/>
      <c r="K9" s="1236"/>
      <c r="L9" s="1236"/>
      <c r="M9" s="1236"/>
      <c r="N9" s="1236"/>
      <c r="O9" s="1236"/>
      <c r="P9" s="1236"/>
      <c r="Q9" s="1235"/>
      <c r="R9" s="1235"/>
      <c r="S9" s="1235"/>
      <c r="T9" s="1235"/>
      <c r="U9" s="1235"/>
    </row>
    <row r="10" spans="1:21" x14ac:dyDescent="0.25">
      <c r="A10" s="1236"/>
      <c r="B10" s="1236"/>
      <c r="C10" s="1236"/>
      <c r="D10" s="1236"/>
      <c r="E10" s="1236"/>
      <c r="F10" s="1236"/>
      <c r="G10" s="1236"/>
      <c r="H10" s="1236"/>
      <c r="I10" s="1236"/>
      <c r="J10" s="1236"/>
      <c r="K10" s="1236"/>
      <c r="L10" s="1236"/>
      <c r="M10" s="1236"/>
      <c r="N10" s="1236"/>
      <c r="O10" s="1236"/>
      <c r="P10" s="1236"/>
      <c r="Q10" s="1235"/>
      <c r="R10" s="1235"/>
      <c r="S10" s="1235"/>
      <c r="T10" s="1235"/>
      <c r="U10" s="1235"/>
    </row>
    <row r="11" spans="1:21" x14ac:dyDescent="0.25">
      <c r="A11" s="1236"/>
      <c r="B11" s="1236"/>
      <c r="C11" s="1236"/>
      <c r="D11" s="1236"/>
      <c r="E11" s="1236"/>
      <c r="F11" s="1236"/>
      <c r="G11" s="1236"/>
      <c r="H11" s="1236"/>
      <c r="I11" s="1236"/>
      <c r="J11" s="1236"/>
      <c r="K11" s="1236"/>
      <c r="L11" s="1236"/>
      <c r="M11" s="1236"/>
      <c r="N11" s="1236"/>
      <c r="O11" s="1236"/>
      <c r="P11" s="1236"/>
      <c r="Q11" s="1235"/>
      <c r="R11" s="1235"/>
      <c r="S11" s="1235"/>
      <c r="T11" s="1235"/>
      <c r="U11" s="1235"/>
    </row>
    <row r="12" spans="1:21" x14ac:dyDescent="0.25">
      <c r="A12" s="1236"/>
      <c r="B12" s="1236"/>
      <c r="C12" s="1236"/>
      <c r="D12" s="1236"/>
      <c r="E12" s="1236"/>
      <c r="F12" s="1236"/>
      <c r="G12" s="1236"/>
      <c r="H12" s="1236"/>
      <c r="I12" s="1236"/>
      <c r="J12" s="1236"/>
      <c r="K12" s="1236"/>
      <c r="L12" s="1236"/>
      <c r="M12" s="1236"/>
      <c r="N12" s="1236"/>
      <c r="O12" s="1236"/>
      <c r="P12" s="1236"/>
      <c r="Q12" s="1235"/>
      <c r="R12" s="1235"/>
      <c r="S12" s="1235"/>
      <c r="T12" s="1235"/>
      <c r="U12" s="1235"/>
    </row>
    <row r="13" spans="1:21" x14ac:dyDescent="0.25">
      <c r="A13" s="1236"/>
      <c r="B13" s="1236"/>
      <c r="C13" s="1236"/>
      <c r="D13" s="1236"/>
      <c r="E13" s="1236"/>
      <c r="F13" s="1236"/>
      <c r="G13" s="1236"/>
      <c r="H13" s="1236"/>
      <c r="I13" s="1236"/>
      <c r="J13" s="1236"/>
      <c r="K13" s="1236"/>
      <c r="L13" s="1236"/>
      <c r="M13" s="1236"/>
      <c r="N13" s="1236"/>
      <c r="O13" s="1236"/>
      <c r="P13" s="1236"/>
      <c r="Q13" s="1235"/>
      <c r="R13" s="1235"/>
      <c r="S13" s="1235"/>
      <c r="T13" s="1235"/>
      <c r="U13" s="1235"/>
    </row>
    <row r="14" spans="1:21" x14ac:dyDescent="0.25">
      <c r="A14" s="1236"/>
      <c r="B14" s="1236"/>
      <c r="C14" s="1236"/>
      <c r="D14" s="1236"/>
      <c r="E14" s="1236"/>
      <c r="F14" s="1236"/>
      <c r="G14" s="1236"/>
      <c r="H14" s="1236"/>
      <c r="I14" s="1236"/>
      <c r="J14" s="1236"/>
      <c r="K14" s="1236"/>
      <c r="L14" s="1236"/>
      <c r="M14" s="1236"/>
      <c r="N14" s="1236"/>
      <c r="O14" s="1236"/>
      <c r="P14" s="1236"/>
      <c r="Q14" s="1235"/>
      <c r="R14" s="1235"/>
      <c r="S14" s="1235"/>
      <c r="T14" s="1235"/>
      <c r="U14" s="1235"/>
    </row>
    <row r="15" spans="1:21" x14ac:dyDescent="0.25">
      <c r="A15" s="1236"/>
      <c r="B15" s="1236"/>
      <c r="C15" s="1236"/>
      <c r="D15" s="1236"/>
      <c r="E15" s="1236"/>
      <c r="F15" s="1236"/>
      <c r="G15" s="1236"/>
      <c r="H15" s="1236"/>
      <c r="I15" s="1236"/>
      <c r="J15" s="1236"/>
      <c r="K15" s="1236"/>
      <c r="L15" s="1236"/>
      <c r="M15" s="1236"/>
      <c r="N15" s="1236"/>
      <c r="O15" s="1236"/>
      <c r="P15" s="1236"/>
      <c r="Q15" s="1235"/>
      <c r="R15" s="1235"/>
      <c r="S15" s="1235"/>
      <c r="T15" s="1235"/>
      <c r="U15" s="1235"/>
    </row>
    <row r="16" spans="1:21" x14ac:dyDescent="0.25">
      <c r="A16" s="1236"/>
      <c r="B16" s="1236"/>
      <c r="C16" s="1236"/>
      <c r="D16" s="1236"/>
      <c r="E16" s="1236"/>
      <c r="F16" s="1236"/>
      <c r="G16" s="1236"/>
      <c r="H16" s="1236"/>
      <c r="I16" s="1236"/>
      <c r="J16" s="1236"/>
      <c r="K16" s="1236"/>
      <c r="L16" s="1236"/>
      <c r="M16" s="1236"/>
      <c r="N16" s="1236"/>
      <c r="O16" s="1236"/>
      <c r="P16" s="1236"/>
      <c r="Q16" s="1235"/>
      <c r="R16" s="1235"/>
      <c r="S16" s="1235"/>
      <c r="T16" s="1235"/>
      <c r="U16" s="1235"/>
    </row>
    <row r="17" spans="1:21" x14ac:dyDescent="0.25">
      <c r="A17" s="1236"/>
      <c r="B17" s="1236"/>
      <c r="C17" s="1236"/>
      <c r="D17" s="1236"/>
      <c r="E17" s="1236"/>
      <c r="F17" s="1236"/>
      <c r="G17" s="1236"/>
      <c r="H17" s="1236"/>
      <c r="I17" s="1238"/>
      <c r="J17" s="1236"/>
      <c r="K17" s="1236"/>
      <c r="L17" s="1236"/>
      <c r="M17" s="1236"/>
      <c r="N17" s="1236"/>
      <c r="O17" s="1236"/>
      <c r="P17" s="1236"/>
      <c r="Q17" s="1235"/>
      <c r="R17" s="1235"/>
      <c r="S17" s="1235"/>
      <c r="T17" s="1235"/>
      <c r="U17" s="1235"/>
    </row>
    <row r="18" spans="1:21" x14ac:dyDescent="0.25">
      <c r="A18" s="1235"/>
      <c r="B18" s="1235"/>
      <c r="C18" s="1235"/>
      <c r="D18" s="1235"/>
      <c r="E18" s="1235"/>
      <c r="F18" s="1235"/>
      <c r="G18" s="1235"/>
      <c r="H18" s="1235"/>
      <c r="I18" s="1235"/>
      <c r="J18" s="1235"/>
      <c r="K18" s="1235"/>
      <c r="L18" s="1235"/>
      <c r="M18" s="1235"/>
      <c r="N18" s="1235"/>
      <c r="O18" s="1235"/>
      <c r="P18" s="1235"/>
      <c r="Q18" s="1235"/>
      <c r="R18" s="1235"/>
      <c r="S18" s="1235"/>
      <c r="T18" s="1235"/>
      <c r="U18" s="1235"/>
    </row>
  </sheetData>
  <sheetProtection algorithmName="SHA-512" hashValue="+whqVG+GBfNw0uNy/Oec0zRUaT+p6/2hl428HRHfQ9vniSA2QmBzXh0tzLduKfVeDuZF4ICP1o8lJwRmE9h12g==" saltValue="+Q5jqCXmZXEPJkFtYFZlSw==" spinCount="100000" sheet="1" objects="1" scenarios="1"/>
  <mergeCells count="3">
    <mergeCell ref="B5:P5"/>
    <mergeCell ref="B6:P6"/>
    <mergeCell ref="B7:P7"/>
  </mergeCells>
  <pageMargins left="0.70866141732283472" right="0.70866141732283472" top="0.74803149606299213" bottom="0.74803149606299213" header="0.31496062992125984" footer="0.31496062992125984"/>
  <pageSetup paperSize="9" scale="88" fitToHeight="0" orientation="landscape" r:id="rId1"/>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Y116"/>
  <sheetViews>
    <sheetView workbookViewId="0">
      <selection activeCell="O26" sqref="O26"/>
    </sheetView>
  </sheetViews>
  <sheetFormatPr defaultColWidth="9.140625" defaultRowHeight="15" x14ac:dyDescent="0.25"/>
  <cols>
    <col min="2" max="2" width="12.5703125" bestFit="1" customWidth="1"/>
    <col min="15" max="15" width="26.5703125" customWidth="1"/>
    <col min="18" max="18" width="9.140625" style="49"/>
    <col min="20" max="20" width="9.140625" style="49"/>
    <col min="21" max="21" width="80.85546875" customWidth="1"/>
    <col min="23" max="23" width="12.5703125" customWidth="1"/>
    <col min="24" max="24" width="35.42578125" customWidth="1"/>
    <col min="25" max="25" width="25.42578125" customWidth="1"/>
  </cols>
  <sheetData>
    <row r="2" spans="2:25" x14ac:dyDescent="0.25">
      <c r="B2" s="513" t="s">
        <v>502</v>
      </c>
      <c r="C2" s="513" t="s">
        <v>504</v>
      </c>
      <c r="D2" s="513" t="s">
        <v>26</v>
      </c>
      <c r="E2" s="513"/>
      <c r="F2" s="513" t="s">
        <v>505</v>
      </c>
      <c r="G2" s="513"/>
      <c r="H2" s="513"/>
      <c r="I2" s="513"/>
      <c r="J2" s="513"/>
      <c r="K2" s="513"/>
      <c r="L2" s="513"/>
      <c r="M2" s="513"/>
      <c r="N2" s="513"/>
      <c r="O2" s="513" t="s">
        <v>506</v>
      </c>
      <c r="P2" s="513" t="s">
        <v>507</v>
      </c>
      <c r="Q2" s="513" t="s">
        <v>503</v>
      </c>
      <c r="R2" s="587" t="s">
        <v>748</v>
      </c>
      <c r="U2" s="520" t="s">
        <v>576</v>
      </c>
      <c r="W2" s="1433" t="s">
        <v>1120</v>
      </c>
      <c r="X2" s="1433"/>
      <c r="Y2" s="1433"/>
    </row>
    <row r="3" spans="2:25" x14ac:dyDescent="0.25">
      <c r="B3" s="514" t="s">
        <v>360</v>
      </c>
      <c r="C3" s="82" t="s">
        <v>508</v>
      </c>
      <c r="D3" s="82">
        <v>0</v>
      </c>
      <c r="E3" s="82">
        <v>5</v>
      </c>
      <c r="F3" s="82" t="s">
        <v>509</v>
      </c>
      <c r="G3" s="82" t="s">
        <v>83</v>
      </c>
      <c r="H3" s="82"/>
      <c r="I3" s="82" t="s">
        <v>510</v>
      </c>
      <c r="J3" s="82" t="s">
        <v>511</v>
      </c>
      <c r="K3" s="82" t="s">
        <v>512</v>
      </c>
      <c r="L3" s="82" t="s">
        <v>513</v>
      </c>
      <c r="M3" s="82" t="s">
        <v>514</v>
      </c>
      <c r="N3" s="82" t="s">
        <v>515</v>
      </c>
      <c r="O3" s="514" t="s">
        <v>360</v>
      </c>
      <c r="P3" s="534">
        <v>0</v>
      </c>
      <c r="Q3" s="516" t="s">
        <v>545</v>
      </c>
      <c r="R3" s="514" t="s">
        <v>360</v>
      </c>
      <c r="S3" s="516" t="s">
        <v>545</v>
      </c>
      <c r="T3" t="s">
        <v>97</v>
      </c>
      <c r="U3" s="521"/>
      <c r="W3">
        <v>1</v>
      </c>
      <c r="X3" t="s">
        <v>867</v>
      </c>
      <c r="Y3" t="s">
        <v>868</v>
      </c>
    </row>
    <row r="4" spans="2:25" x14ac:dyDescent="0.25">
      <c r="B4" s="515" t="s">
        <v>14</v>
      </c>
      <c r="C4" s="82" t="s">
        <v>516</v>
      </c>
      <c r="D4" s="82" t="s">
        <v>564</v>
      </c>
      <c r="E4" s="82">
        <v>4</v>
      </c>
      <c r="F4" s="82" t="s">
        <v>455</v>
      </c>
      <c r="G4" s="82" t="s">
        <v>82</v>
      </c>
      <c r="H4" s="82" t="s">
        <v>517</v>
      </c>
      <c r="I4" s="82">
        <v>1</v>
      </c>
      <c r="J4" s="82">
        <v>1</v>
      </c>
      <c r="K4" s="82">
        <v>1</v>
      </c>
      <c r="L4" s="82">
        <v>1</v>
      </c>
      <c r="M4" s="82">
        <v>2</v>
      </c>
      <c r="N4" s="82"/>
      <c r="O4" s="537" t="str">
        <f>IF(OR(ADPT=ADPT01,ADPT=ADPT03),AIS_NA,"Option 1")</f>
        <v>N/A</v>
      </c>
      <c r="P4" s="534">
        <v>1</v>
      </c>
      <c r="Q4" s="517">
        <v>0</v>
      </c>
      <c r="R4" s="588">
        <v>1</v>
      </c>
      <c r="S4" s="517">
        <v>0</v>
      </c>
      <c r="T4" t="s">
        <v>98</v>
      </c>
      <c r="U4" s="522" t="s">
        <v>577</v>
      </c>
      <c r="W4">
        <v>2</v>
      </c>
      <c r="X4" t="s">
        <v>779</v>
      </c>
      <c r="Y4" t="s">
        <v>508</v>
      </c>
    </row>
    <row r="5" spans="2:25" ht="18" x14ac:dyDescent="0.35">
      <c r="B5" s="515" t="s">
        <v>15</v>
      </c>
      <c r="C5" s="82" t="s">
        <v>518</v>
      </c>
      <c r="D5" s="82" t="s">
        <v>36</v>
      </c>
      <c r="E5" s="82">
        <v>3</v>
      </c>
      <c r="F5" s="82" t="s">
        <v>361</v>
      </c>
      <c r="G5" s="82" t="s">
        <v>81</v>
      </c>
      <c r="H5" s="82" t="s">
        <v>519</v>
      </c>
      <c r="I5" s="82">
        <v>0</v>
      </c>
      <c r="J5" s="82">
        <v>0</v>
      </c>
      <c r="K5" s="82">
        <v>0</v>
      </c>
      <c r="L5" s="82">
        <v>1</v>
      </c>
      <c r="M5" s="82">
        <v>2</v>
      </c>
      <c r="N5" s="82"/>
      <c r="O5" s="537" t="str">
        <f>IF(OR(ADPT=ADPT01,ADPT=ADPT03),AIS_NA,"Option 2")</f>
        <v>N/A</v>
      </c>
      <c r="P5" s="534">
        <v>2</v>
      </c>
      <c r="Q5" s="517">
        <v>0.01</v>
      </c>
      <c r="R5" s="588">
        <v>2</v>
      </c>
      <c r="S5" s="517">
        <v>0.01</v>
      </c>
      <c r="T5" t="s">
        <v>99</v>
      </c>
      <c r="U5" s="523" t="s">
        <v>578</v>
      </c>
      <c r="W5">
        <v>3</v>
      </c>
      <c r="X5" t="s">
        <v>780</v>
      </c>
      <c r="Y5" t="s">
        <v>516</v>
      </c>
    </row>
    <row r="6" spans="2:25" ht="18" x14ac:dyDescent="0.35">
      <c r="B6" s="515" t="s">
        <v>16</v>
      </c>
      <c r="C6" s="82" t="s">
        <v>520</v>
      </c>
      <c r="D6" s="82"/>
      <c r="E6" s="82">
        <v>2</v>
      </c>
      <c r="F6" s="82" t="s">
        <v>396</v>
      </c>
      <c r="G6" s="82" t="s">
        <v>80</v>
      </c>
      <c r="H6" s="82" t="s">
        <v>521</v>
      </c>
      <c r="I6" s="82">
        <v>0</v>
      </c>
      <c r="J6" s="82">
        <v>1</v>
      </c>
      <c r="K6" s="82">
        <v>1</v>
      </c>
      <c r="L6" s="82">
        <v>1</v>
      </c>
      <c r="M6" s="82">
        <v>1</v>
      </c>
      <c r="N6" s="82"/>
      <c r="O6" s="537" t="str">
        <f>IF(OR(ADPT=ADPT01,ADPT=ADPT03),AIS_NA,"Option 3")</f>
        <v>N/A</v>
      </c>
      <c r="P6" s="534">
        <v>3</v>
      </c>
      <c r="Q6" s="517">
        <v>0.02</v>
      </c>
      <c r="R6" s="588">
        <v>3</v>
      </c>
      <c r="S6" s="517">
        <v>0.02</v>
      </c>
      <c r="T6" t="s">
        <v>100</v>
      </c>
      <c r="U6" s="523" t="s">
        <v>579</v>
      </c>
      <c r="W6">
        <v>4</v>
      </c>
      <c r="X6" t="s">
        <v>366</v>
      </c>
      <c r="Y6" t="s">
        <v>522</v>
      </c>
    </row>
    <row r="7" spans="2:25" x14ac:dyDescent="0.25">
      <c r="B7" s="515" t="s">
        <v>571</v>
      </c>
      <c r="O7" s="537" t="str">
        <f>IF(OR(ADPT=ADPT01,ADPT=ADPT03),AIS_NA,"Option 4")</f>
        <v>N/A</v>
      </c>
      <c r="P7" s="534">
        <v>4</v>
      </c>
      <c r="Q7" s="517">
        <v>0.03</v>
      </c>
      <c r="R7" s="588">
        <v>4</v>
      </c>
      <c r="S7" s="517">
        <v>0.03</v>
      </c>
      <c r="T7" t="s">
        <v>101</v>
      </c>
      <c r="U7" s="523" t="s">
        <v>580</v>
      </c>
      <c r="W7">
        <v>5</v>
      </c>
      <c r="X7" t="s">
        <v>1016</v>
      </c>
      <c r="Y7" t="s">
        <v>522</v>
      </c>
    </row>
    <row r="8" spans="2:25" x14ac:dyDescent="0.25">
      <c r="B8" s="515" t="s">
        <v>445</v>
      </c>
      <c r="O8" s="537" t="str">
        <f>IF(OR(ADPT=ADPT01,ADPT=ADPT03),AIS_NA,"N/A")</f>
        <v>N/A</v>
      </c>
      <c r="P8" s="534">
        <v>5</v>
      </c>
      <c r="Q8" s="517">
        <v>0.04</v>
      </c>
      <c r="R8" s="588">
        <v>5</v>
      </c>
      <c r="S8" s="517">
        <v>0.04</v>
      </c>
      <c r="T8" t="s">
        <v>125</v>
      </c>
      <c r="U8" s="523" t="s">
        <v>581</v>
      </c>
      <c r="W8">
        <v>6</v>
      </c>
      <c r="X8" t="s">
        <v>367</v>
      </c>
      <c r="Y8" t="s">
        <v>523</v>
      </c>
    </row>
    <row r="9" spans="2:25" x14ac:dyDescent="0.25">
      <c r="B9" s="515" t="s">
        <v>572</v>
      </c>
      <c r="O9" s="535"/>
      <c r="P9" s="534">
        <v>6</v>
      </c>
      <c r="Q9" s="517">
        <v>0.05</v>
      </c>
      <c r="R9" s="588">
        <v>6</v>
      </c>
      <c r="S9" s="517">
        <v>0.05</v>
      </c>
      <c r="T9" t="s">
        <v>126</v>
      </c>
      <c r="U9" s="523" t="s">
        <v>582</v>
      </c>
      <c r="W9">
        <v>7</v>
      </c>
      <c r="X9" t="s">
        <v>368</v>
      </c>
      <c r="Y9" t="s">
        <v>523</v>
      </c>
    </row>
    <row r="10" spans="2:25" x14ac:dyDescent="0.25">
      <c r="B10" s="515" t="s">
        <v>573</v>
      </c>
      <c r="O10" s="537" t="str">
        <f>IF(OR(ADPT=ADPT01,ADPT=ADPT03),AIS_NA,"Option 1")</f>
        <v>N/A</v>
      </c>
      <c r="P10" s="534">
        <v>7</v>
      </c>
      <c r="Q10" s="517">
        <v>0.06</v>
      </c>
      <c r="R10" s="588">
        <v>7</v>
      </c>
      <c r="S10" s="517">
        <v>0.06</v>
      </c>
      <c r="T10" t="s">
        <v>127</v>
      </c>
      <c r="U10" s="523" t="s">
        <v>583</v>
      </c>
      <c r="W10">
        <v>8</v>
      </c>
      <c r="X10" t="s">
        <v>369</v>
      </c>
      <c r="Y10" t="s">
        <v>524</v>
      </c>
    </row>
    <row r="11" spans="2:25" x14ac:dyDescent="0.25">
      <c r="B11" s="515" t="s">
        <v>1</v>
      </c>
      <c r="C11" s="49"/>
      <c r="D11" s="49"/>
      <c r="E11" s="49"/>
      <c r="F11" s="49"/>
      <c r="G11" s="49"/>
      <c r="H11" s="49"/>
      <c r="I11" s="49"/>
      <c r="J11" s="49"/>
      <c r="K11" s="49"/>
      <c r="L11" s="49"/>
      <c r="M11" s="49"/>
      <c r="N11" s="49"/>
      <c r="O11" s="537" t="str">
        <f>IF(OR(ADPT=ADPT01,ADPT=ADPT03),AIS_NA,"Option 2: N/A")</f>
        <v>N/A</v>
      </c>
      <c r="P11" s="534">
        <v>8</v>
      </c>
      <c r="Q11" s="517">
        <v>7.0000000000000007E-2</v>
      </c>
      <c r="R11" s="588">
        <v>8</v>
      </c>
      <c r="S11" s="517">
        <v>7.0000000000000007E-2</v>
      </c>
      <c r="T11" t="s">
        <v>128</v>
      </c>
      <c r="U11" s="523" t="s">
        <v>584</v>
      </c>
      <c r="W11">
        <v>9</v>
      </c>
      <c r="X11" t="s">
        <v>370</v>
      </c>
      <c r="Y11" t="s">
        <v>524</v>
      </c>
    </row>
    <row r="12" spans="2:25" x14ac:dyDescent="0.25">
      <c r="B12" s="515" t="s">
        <v>574</v>
      </c>
      <c r="O12" s="537" t="str">
        <f>IF(OR(ADPT=ADPT01,ADPT=ADPT03),AIS_NA,"Option 3")</f>
        <v>N/A</v>
      </c>
      <c r="P12" s="534">
        <v>9</v>
      </c>
      <c r="Q12" s="517">
        <v>0.08</v>
      </c>
      <c r="R12" s="588">
        <v>9</v>
      </c>
      <c r="S12" s="517">
        <v>0.08</v>
      </c>
      <c r="T12" t="s">
        <v>129</v>
      </c>
      <c r="U12" s="523" t="s">
        <v>585</v>
      </c>
      <c r="W12">
        <v>10</v>
      </c>
      <c r="X12" t="s">
        <v>781</v>
      </c>
      <c r="Y12" t="s">
        <v>525</v>
      </c>
    </row>
    <row r="13" spans="2:25" x14ac:dyDescent="0.25">
      <c r="B13" s="515" t="s">
        <v>575</v>
      </c>
      <c r="O13" s="537" t="str">
        <f>IF(OR(ADPT=ADPT01,ADPT=ADPT03),AIS_NA,"Option 4")</f>
        <v>N/A</v>
      </c>
      <c r="P13" s="534">
        <v>10</v>
      </c>
      <c r="Q13" s="517">
        <v>0.09</v>
      </c>
      <c r="R13" s="588">
        <v>10</v>
      </c>
      <c r="S13" s="517">
        <v>0.09</v>
      </c>
      <c r="T13" t="s">
        <v>130</v>
      </c>
      <c r="U13" s="523" t="s">
        <v>586</v>
      </c>
      <c r="W13">
        <v>11</v>
      </c>
      <c r="X13" t="s">
        <v>782</v>
      </c>
      <c r="Y13" t="s">
        <v>1015</v>
      </c>
    </row>
    <row r="14" spans="2:25" x14ac:dyDescent="0.25">
      <c r="O14" s="537" t="str">
        <f>IF(OR(ADPT=ADPT01,ADPT=ADPT03),AIS_NA,"N/A")</f>
        <v>N/A</v>
      </c>
      <c r="P14" s="534">
        <v>11</v>
      </c>
      <c r="Q14" s="517">
        <v>0.1</v>
      </c>
      <c r="R14" s="588">
        <v>11</v>
      </c>
      <c r="S14" s="517">
        <v>0.1</v>
      </c>
      <c r="T14" t="s">
        <v>131</v>
      </c>
      <c r="U14" s="522" t="s">
        <v>587</v>
      </c>
      <c r="W14">
        <v>12</v>
      </c>
      <c r="X14" t="s">
        <v>372</v>
      </c>
      <c r="Y14" t="s">
        <v>525</v>
      </c>
    </row>
    <row r="15" spans="2:25" x14ac:dyDescent="0.25">
      <c r="B15" s="515" t="s">
        <v>565</v>
      </c>
      <c r="O15" s="535"/>
      <c r="P15" s="534">
        <v>12</v>
      </c>
      <c r="Q15" s="517">
        <v>0.11</v>
      </c>
      <c r="R15" s="588">
        <v>12</v>
      </c>
      <c r="S15" s="517">
        <v>0.11</v>
      </c>
      <c r="T15" t="s">
        <v>132</v>
      </c>
      <c r="U15" s="522" t="s">
        <v>588</v>
      </c>
      <c r="W15">
        <v>13</v>
      </c>
      <c r="X15" t="s">
        <v>373</v>
      </c>
      <c r="Y15" t="s">
        <v>525</v>
      </c>
    </row>
    <row r="16" spans="2:25" x14ac:dyDescent="0.25">
      <c r="B16" s="515" t="s">
        <v>570</v>
      </c>
      <c r="O16" s="537" t="str">
        <f>IF(OR(ADPT=ADPT01,ADPT=ADPT03),AIS_NA,"Option 1: N/A")</f>
        <v>N/A</v>
      </c>
      <c r="P16" s="534">
        <v>13</v>
      </c>
      <c r="Q16" s="517">
        <v>0.12</v>
      </c>
      <c r="R16" s="588">
        <v>13</v>
      </c>
      <c r="S16" s="517">
        <v>0.12</v>
      </c>
      <c r="T16" t="s">
        <v>133</v>
      </c>
      <c r="U16" s="523" t="s">
        <v>589</v>
      </c>
      <c r="W16">
        <v>14</v>
      </c>
      <c r="X16" t="s">
        <v>374</v>
      </c>
      <c r="Y16" t="s">
        <v>527</v>
      </c>
    </row>
    <row r="17" spans="2:25" x14ac:dyDescent="0.25">
      <c r="O17" s="537" t="str">
        <f>IF(OR(ADPT=ADPT01,ADPT=ADPT03),AIS_NA,"Option 3")</f>
        <v>N/A</v>
      </c>
      <c r="P17" s="534">
        <v>15</v>
      </c>
      <c r="Q17" s="517">
        <v>0.13</v>
      </c>
      <c r="R17" s="588">
        <v>14</v>
      </c>
      <c r="S17" s="614">
        <v>0.125</v>
      </c>
      <c r="T17" t="s">
        <v>146</v>
      </c>
      <c r="U17" s="523" t="s">
        <v>590</v>
      </c>
      <c r="W17">
        <v>15</v>
      </c>
      <c r="X17" t="s">
        <v>375</v>
      </c>
      <c r="Y17" t="s">
        <v>527</v>
      </c>
    </row>
    <row r="18" spans="2:25" x14ac:dyDescent="0.25">
      <c r="O18" s="537" t="str">
        <f>IF(OR(ADPT=ADPT01,ADPT=ADPT03),AIS_NA,"Option 4")</f>
        <v>N/A</v>
      </c>
      <c r="P18" s="534">
        <v>16</v>
      </c>
      <c r="Q18" s="517">
        <v>0.14000000000000001</v>
      </c>
      <c r="R18" s="588">
        <v>15</v>
      </c>
      <c r="S18" s="517">
        <v>0.13</v>
      </c>
      <c r="T18" t="s">
        <v>147</v>
      </c>
      <c r="U18" s="523" t="s">
        <v>591</v>
      </c>
      <c r="W18">
        <v>16</v>
      </c>
      <c r="X18" t="s">
        <v>1014</v>
      </c>
      <c r="Y18" t="s">
        <v>528</v>
      </c>
    </row>
    <row r="19" spans="2:25" x14ac:dyDescent="0.25">
      <c r="O19" s="537" t="str">
        <f>IF(OR(ADPT=ADPT01,ADPT=ADPT03),AIS_NA,"N/A")</f>
        <v>N/A</v>
      </c>
      <c r="P19" s="534">
        <v>17</v>
      </c>
      <c r="Q19" s="517">
        <v>0.15</v>
      </c>
      <c r="R19" s="588">
        <v>16</v>
      </c>
      <c r="S19" s="517">
        <v>0.14000000000000001</v>
      </c>
      <c r="T19" t="s">
        <v>148</v>
      </c>
      <c r="U19" s="523" t="s">
        <v>378</v>
      </c>
      <c r="W19">
        <v>17</v>
      </c>
      <c r="X19" t="s">
        <v>377</v>
      </c>
      <c r="Y19" t="s">
        <v>529</v>
      </c>
    </row>
    <row r="20" spans="2:25" x14ac:dyDescent="0.25">
      <c r="O20" s="535"/>
      <c r="P20" s="534">
        <v>18</v>
      </c>
      <c r="Q20" s="517">
        <v>0.16</v>
      </c>
      <c r="R20" s="588">
        <v>17</v>
      </c>
      <c r="S20" s="517">
        <v>0.15</v>
      </c>
      <c r="T20" t="s">
        <v>149</v>
      </c>
      <c r="U20" s="522" t="s">
        <v>592</v>
      </c>
      <c r="W20">
        <v>18</v>
      </c>
      <c r="X20" t="s">
        <v>383</v>
      </c>
      <c r="Y20" t="s">
        <v>530</v>
      </c>
    </row>
    <row r="21" spans="2:25" x14ac:dyDescent="0.25">
      <c r="O21" s="537" t="str">
        <f>IF(OR(ADPT=ADPT01,ADPT=ADPT03),AIS_NA,"Option 1")</f>
        <v>N/A</v>
      </c>
      <c r="P21" s="534">
        <v>19</v>
      </c>
      <c r="Q21" s="517">
        <v>0.17</v>
      </c>
      <c r="R21" s="588">
        <v>18</v>
      </c>
      <c r="S21" s="517">
        <v>0.16</v>
      </c>
      <c r="T21" t="s">
        <v>150</v>
      </c>
      <c r="U21" s="522" t="s">
        <v>593</v>
      </c>
      <c r="W21">
        <v>19</v>
      </c>
      <c r="X21" t="s">
        <v>384</v>
      </c>
      <c r="Y21" t="s">
        <v>530</v>
      </c>
    </row>
    <row r="22" spans="2:25" x14ac:dyDescent="0.25">
      <c r="O22" s="537" t="str">
        <f>IF(OR(ADPT=ADPT01,ADPT=ADPT03),AIS_NA,"Option 2: N/A")</f>
        <v>N/A</v>
      </c>
      <c r="P22" s="534">
        <v>20</v>
      </c>
      <c r="Q22" s="517">
        <v>0.18</v>
      </c>
      <c r="R22" s="588">
        <v>19</v>
      </c>
      <c r="S22" s="517">
        <v>0.17</v>
      </c>
      <c r="T22" t="s">
        <v>151</v>
      </c>
      <c r="U22" s="522" t="s">
        <v>594</v>
      </c>
      <c r="W22">
        <v>20</v>
      </c>
      <c r="X22" t="s">
        <v>388</v>
      </c>
      <c r="Y22" t="s">
        <v>422</v>
      </c>
    </row>
    <row r="23" spans="2:25" x14ac:dyDescent="0.25">
      <c r="O23" s="537" t="str">
        <f>IF(OR(ADPT=ADPT01,ADPT=ADPT03),AIS_NA,"Option 3")</f>
        <v>N/A</v>
      </c>
      <c r="Q23" s="517">
        <v>0.19</v>
      </c>
      <c r="R23" s="588">
        <v>20</v>
      </c>
      <c r="S23" s="517">
        <v>0.18</v>
      </c>
      <c r="T23" t="s">
        <v>152</v>
      </c>
      <c r="U23" s="523" t="s">
        <v>595</v>
      </c>
      <c r="W23">
        <v>21</v>
      </c>
      <c r="X23" t="s">
        <v>389</v>
      </c>
      <c r="Y23" t="s">
        <v>530</v>
      </c>
    </row>
    <row r="24" spans="2:25" x14ac:dyDescent="0.25">
      <c r="O24" s="537" t="str">
        <f>IF(OR(ADPT=ADPT01,ADPT=ADPT03),AIS_NA,"N/A")</f>
        <v>N/A</v>
      </c>
      <c r="Q24" s="517">
        <v>0.2</v>
      </c>
      <c r="R24" s="588">
        <v>21</v>
      </c>
      <c r="S24" s="517">
        <v>0.19</v>
      </c>
      <c r="T24" t="s">
        <v>153</v>
      </c>
      <c r="U24" s="523" t="s">
        <v>596</v>
      </c>
      <c r="W24">
        <v>22</v>
      </c>
      <c r="X24" t="s">
        <v>424</v>
      </c>
      <c r="Y24" t="s">
        <v>425</v>
      </c>
    </row>
    <row r="25" spans="2:25" x14ac:dyDescent="0.25">
      <c r="Q25" s="517">
        <v>0.21</v>
      </c>
      <c r="R25" s="588">
        <v>22</v>
      </c>
      <c r="S25" s="517">
        <v>0.2</v>
      </c>
      <c r="T25" t="s">
        <v>154</v>
      </c>
      <c r="U25" s="522" t="s">
        <v>597</v>
      </c>
      <c r="W25">
        <v>23</v>
      </c>
      <c r="X25" t="s">
        <v>426</v>
      </c>
      <c r="Y25" t="s">
        <v>1070</v>
      </c>
    </row>
    <row r="26" spans="2:25" x14ac:dyDescent="0.25">
      <c r="O26" s="537" t="s">
        <v>1289</v>
      </c>
      <c r="Q26" s="517">
        <v>0.22</v>
      </c>
      <c r="R26" s="588">
        <v>23</v>
      </c>
      <c r="S26" s="517">
        <v>0.21</v>
      </c>
      <c r="T26" t="s">
        <v>155</v>
      </c>
      <c r="U26" s="522" t="s">
        <v>403</v>
      </c>
      <c r="W26">
        <v>24</v>
      </c>
      <c r="X26" t="s">
        <v>723</v>
      </c>
    </row>
    <row r="27" spans="2:25" x14ac:dyDescent="0.25">
      <c r="Q27" s="517">
        <v>0.23</v>
      </c>
      <c r="R27" s="588">
        <v>24</v>
      </c>
      <c r="S27" s="517">
        <v>0.22</v>
      </c>
      <c r="T27" t="s">
        <v>161</v>
      </c>
      <c r="U27" s="522" t="s">
        <v>598</v>
      </c>
      <c r="W27">
        <v>25</v>
      </c>
      <c r="X27" t="s">
        <v>724</v>
      </c>
    </row>
    <row r="28" spans="2:25" x14ac:dyDescent="0.25">
      <c r="Q28" s="517">
        <v>0.24</v>
      </c>
      <c r="R28" s="588">
        <v>25</v>
      </c>
      <c r="S28" s="517">
        <v>0.23</v>
      </c>
      <c r="T28" t="s">
        <v>162</v>
      </c>
      <c r="U28" s="523" t="s">
        <v>599</v>
      </c>
      <c r="W28" s="701">
        <v>26</v>
      </c>
      <c r="X28" t="s">
        <v>727</v>
      </c>
    </row>
    <row r="29" spans="2:25" x14ac:dyDescent="0.25">
      <c r="Q29" s="517">
        <v>0.25</v>
      </c>
      <c r="R29" s="588">
        <v>26</v>
      </c>
      <c r="S29" s="517">
        <v>0.24</v>
      </c>
      <c r="T29" t="s">
        <v>163</v>
      </c>
      <c r="U29" s="522" t="s">
        <v>405</v>
      </c>
      <c r="W29" s="701">
        <v>27</v>
      </c>
      <c r="X29" t="s">
        <v>737</v>
      </c>
      <c r="Y29" t="s">
        <v>422</v>
      </c>
    </row>
    <row r="30" spans="2:25" x14ac:dyDescent="0.25">
      <c r="B30" s="49"/>
      <c r="C30" s="49"/>
      <c r="D30" s="49"/>
      <c r="E30" s="49"/>
      <c r="F30" s="49"/>
      <c r="G30" s="49"/>
      <c r="H30" s="49"/>
      <c r="I30" s="49"/>
      <c r="J30" s="49"/>
      <c r="K30" s="49"/>
      <c r="Q30" s="517">
        <v>0.26</v>
      </c>
      <c r="R30" s="588">
        <v>27</v>
      </c>
      <c r="S30" s="517">
        <v>0.25</v>
      </c>
      <c r="T30" t="s">
        <v>164</v>
      </c>
      <c r="U30" s="522" t="s">
        <v>406</v>
      </c>
      <c r="W30" s="701" t="s">
        <v>1121</v>
      </c>
      <c r="X30" t="s">
        <v>1103</v>
      </c>
      <c r="Y30" t="s">
        <v>1105</v>
      </c>
    </row>
    <row r="31" spans="2:25" ht="15.75" thickBot="1" x14ac:dyDescent="0.3">
      <c r="B31" s="586" t="s">
        <v>156</v>
      </c>
      <c r="C31" s="586"/>
      <c r="D31" s="586"/>
      <c r="E31" s="586"/>
      <c r="F31" s="586"/>
      <c r="G31" s="586"/>
      <c r="H31" s="586"/>
      <c r="I31" s="586"/>
      <c r="J31" s="586"/>
      <c r="K31" s="586"/>
      <c r="Q31" s="517">
        <v>0.27</v>
      </c>
      <c r="R31" s="588">
        <v>28</v>
      </c>
      <c r="S31" s="517">
        <v>0.26</v>
      </c>
      <c r="T31" t="s">
        <v>165</v>
      </c>
      <c r="U31" s="522" t="s">
        <v>407</v>
      </c>
      <c r="W31" s="701" t="s">
        <v>1122</v>
      </c>
      <c r="X31" t="s">
        <v>1104</v>
      </c>
      <c r="Y31" t="s">
        <v>1105</v>
      </c>
    </row>
    <row r="32" spans="2:25" ht="15.75" thickBot="1" x14ac:dyDescent="0.3">
      <c r="B32" s="583">
        <v>1</v>
      </c>
      <c r="C32" s="584">
        <v>2</v>
      </c>
      <c r="D32" s="584">
        <v>3</v>
      </c>
      <c r="E32" s="584">
        <v>4</v>
      </c>
      <c r="F32" s="584">
        <v>5</v>
      </c>
      <c r="G32" s="584">
        <v>6</v>
      </c>
      <c r="H32" s="584">
        <v>7</v>
      </c>
      <c r="I32" s="584">
        <v>8</v>
      </c>
      <c r="J32" s="584">
        <v>9</v>
      </c>
      <c r="K32" s="585">
        <v>10</v>
      </c>
      <c r="Q32" s="517">
        <v>0.28000000000000003</v>
      </c>
      <c r="R32" s="588">
        <v>29</v>
      </c>
      <c r="S32" s="517">
        <v>0.27</v>
      </c>
      <c r="T32" t="s">
        <v>847</v>
      </c>
      <c r="U32" s="522" t="s">
        <v>600</v>
      </c>
      <c r="W32" s="701">
        <v>28</v>
      </c>
      <c r="X32" t="s">
        <v>463</v>
      </c>
      <c r="Y32" t="s">
        <v>1123</v>
      </c>
    </row>
    <row r="33" spans="2:25" x14ac:dyDescent="0.25">
      <c r="B33" s="580" t="s">
        <v>745</v>
      </c>
      <c r="C33" s="581" t="s">
        <v>744</v>
      </c>
      <c r="D33" s="581"/>
      <c r="E33" s="581"/>
      <c r="F33" s="581"/>
      <c r="G33" s="581"/>
      <c r="H33" s="581"/>
      <c r="I33" s="581"/>
      <c r="J33" s="581"/>
      <c r="K33" s="582"/>
      <c r="Q33" s="517">
        <v>0.28999999999999998</v>
      </c>
      <c r="R33" s="588">
        <v>30</v>
      </c>
      <c r="S33" s="517">
        <v>0.28000000000000003</v>
      </c>
      <c r="T33" t="s">
        <v>185</v>
      </c>
      <c r="U33" s="522" t="s">
        <v>601</v>
      </c>
      <c r="W33" s="701">
        <v>29</v>
      </c>
      <c r="X33" t="s">
        <v>714</v>
      </c>
      <c r="Y33" t="s">
        <v>1124</v>
      </c>
    </row>
    <row r="34" spans="2:25" ht="15.75" thickBot="1" x14ac:dyDescent="0.3">
      <c r="B34" s="576" t="s">
        <v>743</v>
      </c>
      <c r="C34" s="577">
        <v>0.5</v>
      </c>
      <c r="D34" s="577">
        <v>1</v>
      </c>
      <c r="E34" s="577">
        <v>2</v>
      </c>
      <c r="F34" s="577">
        <v>4</v>
      </c>
      <c r="G34" s="577">
        <v>8</v>
      </c>
      <c r="H34" s="577">
        <v>10</v>
      </c>
      <c r="I34" s="577">
        <v>12</v>
      </c>
      <c r="J34" s="577">
        <v>18</v>
      </c>
      <c r="K34" s="578" t="s">
        <v>746</v>
      </c>
      <c r="Q34" s="517">
        <v>0.3</v>
      </c>
      <c r="R34" s="589" t="s">
        <v>749</v>
      </c>
      <c r="S34" s="517">
        <v>0.28999999999999998</v>
      </c>
      <c r="T34" t="s">
        <v>186</v>
      </c>
      <c r="U34" s="522" t="s">
        <v>602</v>
      </c>
      <c r="W34" s="701" t="s">
        <v>1125</v>
      </c>
      <c r="X34" t="s">
        <v>714</v>
      </c>
    </row>
    <row r="35" spans="2:25" x14ac:dyDescent="0.25">
      <c r="B35" s="568" t="s">
        <v>412</v>
      </c>
      <c r="C35" s="569">
        <v>0</v>
      </c>
      <c r="D35" s="569">
        <v>0</v>
      </c>
      <c r="E35" s="569">
        <v>1</v>
      </c>
      <c r="F35" s="569">
        <v>2</v>
      </c>
      <c r="G35" s="569">
        <v>3</v>
      </c>
      <c r="H35" s="569">
        <v>3</v>
      </c>
      <c r="I35" s="569">
        <v>3</v>
      </c>
      <c r="J35" s="569">
        <v>3</v>
      </c>
      <c r="K35" s="570">
        <v>0</v>
      </c>
      <c r="Q35" s="517">
        <v>0.31</v>
      </c>
      <c r="R35" s="515" t="s">
        <v>16</v>
      </c>
      <c r="S35" s="517">
        <v>0.3</v>
      </c>
      <c r="T35" t="s">
        <v>187</v>
      </c>
      <c r="U35" s="523" t="s">
        <v>1028</v>
      </c>
      <c r="W35" s="701">
        <v>30</v>
      </c>
      <c r="X35" t="s">
        <v>558</v>
      </c>
      <c r="Y35" t="s">
        <v>491</v>
      </c>
    </row>
    <row r="36" spans="2:25" x14ac:dyDescent="0.25">
      <c r="B36" s="571" t="s">
        <v>533</v>
      </c>
      <c r="C36" s="82">
        <f>C35</f>
        <v>0</v>
      </c>
      <c r="D36" s="82">
        <f t="shared" ref="D36:J36" si="0">D35</f>
        <v>0</v>
      </c>
      <c r="E36" s="82">
        <f t="shared" si="0"/>
        <v>1</v>
      </c>
      <c r="F36" s="82">
        <f t="shared" si="0"/>
        <v>2</v>
      </c>
      <c r="G36" s="82">
        <f t="shared" si="0"/>
        <v>3</v>
      </c>
      <c r="H36" s="82">
        <f t="shared" si="0"/>
        <v>3</v>
      </c>
      <c r="I36" s="82">
        <f t="shared" si="0"/>
        <v>3</v>
      </c>
      <c r="J36" s="82">
        <f t="shared" si="0"/>
        <v>3</v>
      </c>
      <c r="K36" s="572">
        <v>0</v>
      </c>
      <c r="Q36" s="517">
        <v>0.32</v>
      </c>
      <c r="R36" s="517"/>
      <c r="S36" s="517">
        <v>0.31</v>
      </c>
      <c r="T36" t="s">
        <v>188</v>
      </c>
      <c r="U36" s="523" t="s">
        <v>603</v>
      </c>
      <c r="W36" s="701">
        <v>31</v>
      </c>
      <c r="X36" t="s">
        <v>569</v>
      </c>
      <c r="Y36" t="s">
        <v>491</v>
      </c>
    </row>
    <row r="37" spans="2:25" x14ac:dyDescent="0.25">
      <c r="B37" s="571" t="s">
        <v>534</v>
      </c>
      <c r="C37" s="82">
        <v>0</v>
      </c>
      <c r="D37" s="82">
        <v>0</v>
      </c>
      <c r="E37" s="82">
        <v>1</v>
      </c>
      <c r="F37" s="82">
        <v>2</v>
      </c>
      <c r="G37" s="82">
        <v>3</v>
      </c>
      <c r="H37" s="82">
        <v>3</v>
      </c>
      <c r="I37" s="82">
        <v>4</v>
      </c>
      <c r="J37" s="82">
        <v>5</v>
      </c>
      <c r="K37" s="572">
        <v>0</v>
      </c>
      <c r="Q37" s="517">
        <v>0.33</v>
      </c>
      <c r="R37" s="517"/>
      <c r="S37" s="517">
        <v>0.32</v>
      </c>
      <c r="T37" t="s">
        <v>189</v>
      </c>
      <c r="U37" s="523" t="s">
        <v>604</v>
      </c>
      <c r="W37" s="701">
        <v>32</v>
      </c>
      <c r="X37" t="s">
        <v>492</v>
      </c>
      <c r="Y37" t="s">
        <v>491</v>
      </c>
    </row>
    <row r="38" spans="2:25" x14ac:dyDescent="0.25">
      <c r="B38" s="571" t="s">
        <v>535</v>
      </c>
      <c r="C38" s="82">
        <v>0</v>
      </c>
      <c r="D38" s="82">
        <v>0</v>
      </c>
      <c r="E38" s="82">
        <v>1</v>
      </c>
      <c r="F38" s="82">
        <v>2</v>
      </c>
      <c r="G38" s="82">
        <v>2</v>
      </c>
      <c r="H38" s="82">
        <v>2</v>
      </c>
      <c r="I38" s="82">
        <v>2</v>
      </c>
      <c r="J38" s="82">
        <v>2</v>
      </c>
      <c r="K38" s="572">
        <v>0</v>
      </c>
      <c r="Q38" s="517">
        <v>0.34</v>
      </c>
      <c r="R38" s="517"/>
      <c r="S38" s="517">
        <v>0.33</v>
      </c>
      <c r="T38" t="s">
        <v>190</v>
      </c>
      <c r="U38" s="523" t="s">
        <v>605</v>
      </c>
      <c r="W38" s="701">
        <v>33</v>
      </c>
      <c r="X38" t="s">
        <v>1095</v>
      </c>
      <c r="Y38" t="s">
        <v>1092</v>
      </c>
    </row>
    <row r="39" spans="2:25" x14ac:dyDescent="0.25">
      <c r="B39" s="579" t="s">
        <v>536</v>
      </c>
      <c r="C39" s="82">
        <f>C38</f>
        <v>0</v>
      </c>
      <c r="D39" s="82">
        <f t="shared" ref="D39:J39" si="1">D38</f>
        <v>0</v>
      </c>
      <c r="E39" s="82">
        <f t="shared" si="1"/>
        <v>1</v>
      </c>
      <c r="F39" s="82">
        <f t="shared" si="1"/>
        <v>2</v>
      </c>
      <c r="G39" s="82">
        <f t="shared" si="1"/>
        <v>2</v>
      </c>
      <c r="H39" s="82">
        <f t="shared" si="1"/>
        <v>2</v>
      </c>
      <c r="I39" s="82">
        <f t="shared" si="1"/>
        <v>2</v>
      </c>
      <c r="J39" s="82">
        <f t="shared" si="1"/>
        <v>2</v>
      </c>
      <c r="K39" s="572">
        <v>0</v>
      </c>
      <c r="Q39" s="517">
        <v>0.35</v>
      </c>
      <c r="R39" s="517"/>
      <c r="S39" s="517">
        <v>0.34</v>
      </c>
      <c r="T39" t="s">
        <v>191</v>
      </c>
      <c r="U39" s="522" t="s">
        <v>606</v>
      </c>
      <c r="W39" s="701" t="s">
        <v>1126</v>
      </c>
      <c r="X39" t="s">
        <v>1096</v>
      </c>
      <c r="Y39" t="s">
        <v>1092</v>
      </c>
    </row>
    <row r="40" spans="2:25" x14ac:dyDescent="0.25">
      <c r="B40" s="571" t="s">
        <v>409</v>
      </c>
      <c r="C40" s="82">
        <v>1</v>
      </c>
      <c r="D40" s="82">
        <v>2</v>
      </c>
      <c r="E40" s="82">
        <v>3</v>
      </c>
      <c r="F40" s="82">
        <v>4</v>
      </c>
      <c r="G40" s="82">
        <v>4</v>
      </c>
      <c r="H40" s="82">
        <v>4</v>
      </c>
      <c r="I40" s="82">
        <v>4</v>
      </c>
      <c r="J40" s="82">
        <v>4</v>
      </c>
      <c r="K40" s="572">
        <v>0</v>
      </c>
      <c r="Q40" s="517">
        <v>0.36</v>
      </c>
      <c r="R40" s="517"/>
      <c r="S40" s="517">
        <v>0.35</v>
      </c>
      <c r="T40" t="s">
        <v>193</v>
      </c>
      <c r="U40" s="523" t="s">
        <v>607</v>
      </c>
      <c r="W40" s="701" t="s">
        <v>1127</v>
      </c>
      <c r="X40" t="s">
        <v>1097</v>
      </c>
      <c r="Y40" t="s">
        <v>1092</v>
      </c>
    </row>
    <row r="41" spans="2:25" ht="15.75" thickBot="1" x14ac:dyDescent="0.3">
      <c r="B41" s="573" t="s">
        <v>537</v>
      </c>
      <c r="C41" s="574">
        <v>0</v>
      </c>
      <c r="D41" s="574">
        <v>0</v>
      </c>
      <c r="E41" s="574">
        <v>1</v>
      </c>
      <c r="F41" s="574">
        <v>2</v>
      </c>
      <c r="G41" s="574">
        <v>3</v>
      </c>
      <c r="H41" s="574">
        <v>3</v>
      </c>
      <c r="I41" s="574">
        <v>3</v>
      </c>
      <c r="J41" s="574">
        <v>4</v>
      </c>
      <c r="K41" s="575">
        <v>0</v>
      </c>
      <c r="Q41" s="517">
        <v>0.37</v>
      </c>
      <c r="R41" s="517"/>
      <c r="S41" s="517">
        <v>0.36</v>
      </c>
      <c r="T41" t="s">
        <v>194</v>
      </c>
      <c r="U41" s="522" t="s">
        <v>608</v>
      </c>
      <c r="W41" s="701">
        <v>34</v>
      </c>
      <c r="X41" t="s">
        <v>1131</v>
      </c>
      <c r="Y41" t="s">
        <v>1132</v>
      </c>
    </row>
    <row r="42" spans="2:25" ht="15.75" thickBot="1" x14ac:dyDescent="0.3">
      <c r="J42" s="49"/>
      <c r="K42" s="49"/>
      <c r="Q42" s="517">
        <v>0.38</v>
      </c>
      <c r="R42" s="517"/>
      <c r="S42" s="517">
        <v>0.37</v>
      </c>
      <c r="T42" t="s">
        <v>195</v>
      </c>
      <c r="U42" s="523" t="s">
        <v>609</v>
      </c>
      <c r="W42" s="701" t="s">
        <v>1135</v>
      </c>
      <c r="X42" t="s">
        <v>1134</v>
      </c>
      <c r="Y42" t="s">
        <v>486</v>
      </c>
    </row>
    <row r="43" spans="2:25" ht="15.75" thickBot="1" x14ac:dyDescent="0.3">
      <c r="B43" s="590" t="s">
        <v>158</v>
      </c>
      <c r="C43" s="591"/>
      <c r="D43" s="591"/>
      <c r="E43" s="591"/>
      <c r="F43" s="591"/>
      <c r="G43" s="591"/>
      <c r="H43" s="591"/>
      <c r="I43" s="591"/>
      <c r="J43" s="591"/>
      <c r="K43" s="592"/>
      <c r="Q43" s="517">
        <v>0.39</v>
      </c>
      <c r="R43" s="517"/>
      <c r="S43" s="517">
        <v>0.38</v>
      </c>
      <c r="T43" t="s">
        <v>196</v>
      </c>
      <c r="U43" s="523" t="s">
        <v>610</v>
      </c>
      <c r="W43" s="701">
        <v>35</v>
      </c>
      <c r="X43" t="s">
        <v>1093</v>
      </c>
      <c r="Y43" t="s">
        <v>1092</v>
      </c>
    </row>
    <row r="44" spans="2:25" ht="15.75" thickBot="1" x14ac:dyDescent="0.3">
      <c r="B44" s="593" t="str">
        <f>'Assessment Issue Scoring'!D705</f>
        <v>Building type category (sourced from issue Tra01)</v>
      </c>
      <c r="C44" s="81"/>
      <c r="D44" s="81"/>
      <c r="E44" s="81"/>
      <c r="F44" s="81"/>
      <c r="G44" s="81"/>
      <c r="H44" s="81" t="str">
        <f>'Assessment Issue Scoring'!E705</f>
        <v>Please Select</v>
      </c>
      <c r="I44" s="565" t="str">
        <f>IF(H44=K44,IF(J48=J50,"Type 3R",IF(AND(J48=J51,J49=K49),"Type 3U","Type 3")),H44)</f>
        <v>Please Select</v>
      </c>
      <c r="J44" s="81"/>
      <c r="K44" s="667" t="s">
        <v>534</v>
      </c>
      <c r="Q44" s="517">
        <v>0.4</v>
      </c>
      <c r="R44" s="517"/>
      <c r="S44" s="517">
        <v>0.39</v>
      </c>
      <c r="T44" t="s">
        <v>197</v>
      </c>
      <c r="U44" s="523" t="s">
        <v>611</v>
      </c>
      <c r="W44" s="701">
        <v>36</v>
      </c>
      <c r="X44" t="s">
        <v>1094</v>
      </c>
      <c r="Y44" t="s">
        <v>1092</v>
      </c>
    </row>
    <row r="45" spans="2:25" ht="15.75" thickBot="1" x14ac:dyDescent="0.3">
      <c r="B45" s="593" t="str">
        <f>'Assessment Issue Scoring'!D706</f>
        <v>Buildings Accessibility Index (sourced from issue Tra01)</v>
      </c>
      <c r="C45" s="81"/>
      <c r="D45" s="81"/>
      <c r="E45" s="81"/>
      <c r="F45" s="81"/>
      <c r="G45" s="81"/>
      <c r="H45" s="656">
        <f>'Assessment Issue Scoring'!L707</f>
        <v>3</v>
      </c>
      <c r="I45" s="81"/>
      <c r="J45" s="595"/>
      <c r="K45" s="668" t="s">
        <v>360</v>
      </c>
      <c r="Q45" s="517">
        <v>0.41</v>
      </c>
      <c r="R45" s="517"/>
      <c r="S45" s="517">
        <v>0.4</v>
      </c>
      <c r="T45" t="s">
        <v>198</v>
      </c>
      <c r="U45" s="522" t="s">
        <v>612</v>
      </c>
      <c r="W45">
        <v>37</v>
      </c>
      <c r="X45" t="s">
        <v>1114</v>
      </c>
    </row>
    <row r="46" spans="2:25" x14ac:dyDescent="0.25">
      <c r="B46" s="593" t="str">
        <f>'Assessment Issue Scoring'!D709</f>
        <v>Maximum parking capacity. 1 space per x building users, where x is:</v>
      </c>
      <c r="C46" s="81"/>
      <c r="D46" s="81"/>
      <c r="E46" s="81"/>
      <c r="F46" s="81"/>
      <c r="G46" s="81"/>
      <c r="H46" s="81" t="str">
        <f>'Assessment Issue Scoring'!E709</f>
        <v>Please Select</v>
      </c>
      <c r="I46" s="81"/>
      <c r="J46" s="81"/>
      <c r="K46" s="594"/>
      <c r="Q46" s="517">
        <v>0.42</v>
      </c>
      <c r="R46" s="517"/>
      <c r="S46" s="517">
        <v>0.41</v>
      </c>
      <c r="T46" t="s">
        <v>199</v>
      </c>
      <c r="U46" s="522" t="s">
        <v>613</v>
      </c>
    </row>
    <row r="47" spans="2:25" ht="15.75" thickBot="1" x14ac:dyDescent="0.3">
      <c r="B47" s="593"/>
      <c r="C47" s="81"/>
      <c r="D47" s="81"/>
      <c r="E47" s="81"/>
      <c r="F47" s="81"/>
      <c r="G47" s="81"/>
      <c r="H47" s="81"/>
      <c r="I47" s="81"/>
      <c r="J47" s="81"/>
      <c r="K47" s="594"/>
      <c r="Q47" s="517">
        <v>0.43</v>
      </c>
      <c r="R47" s="517"/>
      <c r="S47" s="517">
        <v>0.42</v>
      </c>
      <c r="T47" t="s">
        <v>200</v>
      </c>
      <c r="U47" s="523" t="s">
        <v>614</v>
      </c>
    </row>
    <row r="48" spans="2:25" ht="15.75" thickBot="1" x14ac:dyDescent="0.3">
      <c r="B48" s="667"/>
      <c r="C48" s="1429" t="s">
        <v>1044</v>
      </c>
      <c r="D48" s="1430"/>
      <c r="E48" s="1431"/>
      <c r="F48" s="1432" t="s">
        <v>1045</v>
      </c>
      <c r="G48" s="1430"/>
      <c r="H48" s="1431"/>
      <c r="I48" s="81"/>
      <c r="J48" s="663" t="str">
        <f>ADBT0</f>
        <v>Office</v>
      </c>
      <c r="K48" s="594"/>
      <c r="Q48" s="517">
        <v>0.44</v>
      </c>
      <c r="R48" s="517"/>
      <c r="S48" s="517">
        <v>0.43</v>
      </c>
      <c r="T48" t="s">
        <v>201</v>
      </c>
      <c r="U48" s="522" t="s">
        <v>615</v>
      </c>
    </row>
    <row r="49" spans="2:21" ht="15.75" thickBot="1" x14ac:dyDescent="0.3">
      <c r="B49" s="653" t="s">
        <v>1043</v>
      </c>
      <c r="C49" s="657" t="s">
        <v>751</v>
      </c>
      <c r="D49" s="87" t="s">
        <v>752</v>
      </c>
      <c r="E49" s="658" t="s">
        <v>753</v>
      </c>
      <c r="F49" s="665" t="s">
        <v>751</v>
      </c>
      <c r="G49" s="87" t="s">
        <v>752</v>
      </c>
      <c r="H49" s="658" t="s">
        <v>753</v>
      </c>
      <c r="I49" s="81"/>
      <c r="J49" s="667" t="str">
        <f>'Assessment Details'!F6</f>
        <v>General office building</v>
      </c>
      <c r="K49" s="594" t="str">
        <f>'Assessment Details'!R6</f>
        <v>Higher Education - University</v>
      </c>
      <c r="Q49" s="517">
        <v>0.45</v>
      </c>
      <c r="R49" s="517"/>
      <c r="S49" s="517">
        <v>0.44</v>
      </c>
      <c r="T49" t="s">
        <v>202</v>
      </c>
      <c r="U49" s="523" t="s">
        <v>616</v>
      </c>
    </row>
    <row r="50" spans="2:21" x14ac:dyDescent="0.25">
      <c r="B50" s="568" t="s">
        <v>412</v>
      </c>
      <c r="C50" s="569">
        <v>3</v>
      </c>
      <c r="D50" s="569">
        <v>4</v>
      </c>
      <c r="E50" s="569">
        <v>5</v>
      </c>
      <c r="F50" s="660">
        <v>4</v>
      </c>
      <c r="G50" s="660">
        <v>5</v>
      </c>
      <c r="H50" s="661">
        <v>6</v>
      </c>
      <c r="I50" s="81"/>
      <c r="J50" s="669" t="str">
        <f>ADBT3</f>
        <v>Retail</v>
      </c>
      <c r="K50" s="594"/>
      <c r="Q50" s="517">
        <v>0.46</v>
      </c>
      <c r="R50" s="517"/>
      <c r="S50" s="517">
        <v>0.45</v>
      </c>
      <c r="T50" t="s">
        <v>203</v>
      </c>
      <c r="U50" s="522" t="s">
        <v>617</v>
      </c>
    </row>
    <row r="51" spans="2:21" ht="15.75" thickBot="1" x14ac:dyDescent="0.3">
      <c r="B51" s="571" t="s">
        <v>533</v>
      </c>
      <c r="C51" s="82">
        <v>3</v>
      </c>
      <c r="D51" s="82">
        <v>4</v>
      </c>
      <c r="E51" s="82">
        <v>5</v>
      </c>
      <c r="F51" s="659">
        <v>4</v>
      </c>
      <c r="G51" s="82">
        <v>5</v>
      </c>
      <c r="H51" s="572">
        <v>6</v>
      </c>
      <c r="I51" s="81"/>
      <c r="J51" s="653" t="str">
        <f>ADBT8</f>
        <v>Education</v>
      </c>
      <c r="K51" s="594"/>
      <c r="Q51" s="517">
        <v>0.47</v>
      </c>
      <c r="R51" s="517"/>
      <c r="S51" s="517">
        <v>0.46</v>
      </c>
      <c r="T51" t="s">
        <v>204</v>
      </c>
      <c r="U51" s="523" t="s">
        <v>618</v>
      </c>
    </row>
    <row r="52" spans="2:21" x14ac:dyDescent="0.25">
      <c r="B52" s="571" t="s">
        <v>534</v>
      </c>
      <c r="C52" s="82">
        <v>3</v>
      </c>
      <c r="D52" s="82">
        <v>4</v>
      </c>
      <c r="E52" s="82">
        <v>5</v>
      </c>
      <c r="F52" s="659">
        <v>4</v>
      </c>
      <c r="G52" s="659">
        <v>5</v>
      </c>
      <c r="H52" s="662">
        <v>6</v>
      </c>
      <c r="I52" s="683"/>
      <c r="J52" s="679">
        <v>0</v>
      </c>
      <c r="K52" s="594"/>
      <c r="Q52" s="517">
        <v>0.48</v>
      </c>
      <c r="R52" s="517"/>
      <c r="S52" s="517">
        <v>0.47</v>
      </c>
      <c r="T52" t="s">
        <v>205</v>
      </c>
      <c r="U52" s="523" t="s">
        <v>619</v>
      </c>
    </row>
    <row r="53" spans="2:21" x14ac:dyDescent="0.25">
      <c r="B53" s="571" t="s">
        <v>1054</v>
      </c>
      <c r="C53" s="82">
        <v>15</v>
      </c>
      <c r="D53" s="82">
        <v>20</v>
      </c>
      <c r="E53" s="82">
        <v>25</v>
      </c>
      <c r="F53" s="82">
        <v>20</v>
      </c>
      <c r="G53" s="82">
        <v>25</v>
      </c>
      <c r="H53" s="572">
        <v>30</v>
      </c>
      <c r="I53" s="670" t="s">
        <v>1046</v>
      </c>
      <c r="J53" s="680">
        <v>3</v>
      </c>
      <c r="K53" s="594"/>
      <c r="O53" s="519" t="s">
        <v>566</v>
      </c>
      <c r="Q53" s="517">
        <v>0.49</v>
      </c>
      <c r="R53" s="517"/>
      <c r="S53" s="517">
        <v>0.48</v>
      </c>
      <c r="T53" t="s">
        <v>206</v>
      </c>
      <c r="U53" s="522" t="s">
        <v>620</v>
      </c>
    </row>
    <row r="54" spans="2:21" x14ac:dyDescent="0.25">
      <c r="B54" s="571" t="s">
        <v>1055</v>
      </c>
      <c r="C54" s="659" t="s">
        <v>16</v>
      </c>
      <c r="D54" s="659" t="s">
        <v>16</v>
      </c>
      <c r="E54" s="659" t="s">
        <v>16</v>
      </c>
      <c r="F54" s="82" t="s">
        <v>16</v>
      </c>
      <c r="G54" s="82" t="s">
        <v>16</v>
      </c>
      <c r="H54" s="572" t="s">
        <v>16</v>
      </c>
      <c r="I54" s="683" t="s">
        <v>1047</v>
      </c>
      <c r="J54" s="669">
        <v>7</v>
      </c>
      <c r="K54" s="594"/>
      <c r="Q54" s="517">
        <v>0.5</v>
      </c>
      <c r="R54" s="517"/>
      <c r="S54" s="517">
        <v>0.49</v>
      </c>
      <c r="T54" t="s">
        <v>76</v>
      </c>
      <c r="U54" s="522" t="s">
        <v>621</v>
      </c>
    </row>
    <row r="55" spans="2:21" ht="15.75" thickBot="1" x14ac:dyDescent="0.3">
      <c r="B55" s="571" t="s">
        <v>535</v>
      </c>
      <c r="C55" s="659">
        <v>3</v>
      </c>
      <c r="D55" s="659">
        <v>4</v>
      </c>
      <c r="E55" s="659">
        <v>5</v>
      </c>
      <c r="F55" s="82">
        <v>4</v>
      </c>
      <c r="G55" s="82">
        <v>5</v>
      </c>
      <c r="H55" s="572">
        <v>6</v>
      </c>
      <c r="I55" s="81"/>
      <c r="J55" s="681">
        <v>8</v>
      </c>
      <c r="K55" s="594"/>
      <c r="Q55" s="517">
        <v>0.51</v>
      </c>
      <c r="R55" s="517"/>
      <c r="S55" s="517">
        <v>0.5</v>
      </c>
      <c r="T55" s="517"/>
      <c r="U55" s="523" t="s">
        <v>622</v>
      </c>
    </row>
    <row r="56" spans="2:21" ht="15.75" thickBot="1" x14ac:dyDescent="0.3">
      <c r="B56" s="571" t="s">
        <v>536</v>
      </c>
      <c r="C56" s="82">
        <v>3</v>
      </c>
      <c r="D56" s="82">
        <v>4</v>
      </c>
      <c r="E56" s="82">
        <v>5</v>
      </c>
      <c r="F56" s="82">
        <v>4</v>
      </c>
      <c r="G56" s="82">
        <v>5</v>
      </c>
      <c r="H56" s="572">
        <v>6</v>
      </c>
      <c r="I56" s="81"/>
      <c r="J56" s="686" t="s">
        <v>16</v>
      </c>
      <c r="K56" s="594"/>
      <c r="Q56" s="517">
        <v>0.52</v>
      </c>
      <c r="R56" s="517"/>
      <c r="S56" s="517">
        <v>0.51</v>
      </c>
      <c r="T56" s="517"/>
      <c r="U56" s="523" t="s">
        <v>623</v>
      </c>
    </row>
    <row r="57" spans="2:21" x14ac:dyDescent="0.25">
      <c r="B57" s="571" t="s">
        <v>409</v>
      </c>
      <c r="C57" s="82" t="s">
        <v>16</v>
      </c>
      <c r="D57" s="82" t="s">
        <v>16</v>
      </c>
      <c r="E57" s="82" t="s">
        <v>16</v>
      </c>
      <c r="F57" s="82" t="s">
        <v>16</v>
      </c>
      <c r="G57" s="82" t="s">
        <v>16</v>
      </c>
      <c r="H57" s="572" t="s">
        <v>16</v>
      </c>
      <c r="I57" s="81"/>
      <c r="J57" s="81"/>
      <c r="K57" s="594"/>
      <c r="Q57" s="517">
        <v>0.53</v>
      </c>
      <c r="R57" s="517"/>
      <c r="S57" s="517">
        <v>0.52</v>
      </c>
      <c r="T57" s="517"/>
      <c r="U57" s="523" t="s">
        <v>624</v>
      </c>
    </row>
    <row r="58" spans="2:21" ht="15.75" thickBot="1" x14ac:dyDescent="0.3">
      <c r="B58" s="671" t="s">
        <v>537</v>
      </c>
      <c r="C58" s="574" t="s">
        <v>16</v>
      </c>
      <c r="D58" s="574" t="s">
        <v>16</v>
      </c>
      <c r="E58" s="574" t="s">
        <v>16</v>
      </c>
      <c r="F58" s="574" t="s">
        <v>16</v>
      </c>
      <c r="G58" s="574" t="s">
        <v>16</v>
      </c>
      <c r="H58" s="575" t="s">
        <v>16</v>
      </c>
      <c r="I58" s="81"/>
      <c r="J58" s="81"/>
      <c r="K58" s="594"/>
      <c r="Q58" s="517">
        <v>0.54</v>
      </c>
      <c r="R58" s="517"/>
      <c r="S58" s="517">
        <v>0.53</v>
      </c>
      <c r="T58" s="517"/>
      <c r="U58" s="523" t="s">
        <v>625</v>
      </c>
    </row>
    <row r="59" spans="2:21" ht="15.75" thickBot="1" x14ac:dyDescent="0.3">
      <c r="B59" s="593"/>
      <c r="C59" s="81">
        <v>2</v>
      </c>
      <c r="D59" s="81">
        <v>3</v>
      </c>
      <c r="E59" s="81">
        <v>4</v>
      </c>
      <c r="F59" s="81">
        <v>5</v>
      </c>
      <c r="G59" s="81">
        <v>6</v>
      </c>
      <c r="H59" s="81">
        <v>7</v>
      </c>
      <c r="I59" s="81"/>
      <c r="J59" s="81"/>
      <c r="K59" s="594"/>
      <c r="Q59" s="517">
        <v>0.55000000000000004</v>
      </c>
      <c r="R59" s="517"/>
      <c r="S59" s="517">
        <v>0.54</v>
      </c>
      <c r="T59" s="517"/>
      <c r="U59" s="524" t="s">
        <v>626</v>
      </c>
    </row>
    <row r="60" spans="2:21" ht="15.75" thickBot="1" x14ac:dyDescent="0.3">
      <c r="B60" s="593"/>
      <c r="C60" s="675">
        <v>3</v>
      </c>
      <c r="D60" s="676">
        <v>7</v>
      </c>
      <c r="E60" s="676">
        <v>8</v>
      </c>
      <c r="F60" s="677">
        <v>0</v>
      </c>
      <c r="G60" s="81"/>
      <c r="H60" s="81"/>
      <c r="I60" s="81"/>
      <c r="J60" s="81"/>
      <c r="K60" s="594"/>
      <c r="Q60" s="517">
        <v>0.56000000000000005</v>
      </c>
      <c r="R60" s="517"/>
      <c r="S60" s="517">
        <v>0.55000000000000004</v>
      </c>
      <c r="T60" s="517"/>
      <c r="U60" s="522" t="s">
        <v>627</v>
      </c>
    </row>
    <row r="61" spans="2:21" x14ac:dyDescent="0.25">
      <c r="B61" s="672" t="str">
        <f>I44</f>
        <v>Please Select</v>
      </c>
      <c r="C61" s="666" t="e">
        <f>VLOOKUP($B$61,$B$50:$H$58,C$59,FALSE)</f>
        <v>#N/A</v>
      </c>
      <c r="D61" s="84" t="e">
        <f>VLOOKUP($B$61,$B$50:$H$58,D$59,FALSE)</f>
        <v>#N/A</v>
      </c>
      <c r="E61" s="84" t="e">
        <f>VLOOKUP($B$61,$B$50:$H$58,E$59,FALSE)</f>
        <v>#N/A</v>
      </c>
      <c r="F61" s="674">
        <v>0</v>
      </c>
      <c r="G61" s="81"/>
      <c r="H61" s="568" t="e">
        <f>HLOOKUP(H45,C60:F62,2,FALSE)</f>
        <v>#N/A</v>
      </c>
      <c r="I61" s="570">
        <v>1</v>
      </c>
      <c r="J61" s="81"/>
      <c r="K61" s="594"/>
      <c r="Q61" s="517">
        <v>0.56999999999999995</v>
      </c>
      <c r="R61" s="517"/>
      <c r="S61" s="517">
        <v>0.56000000000000005</v>
      </c>
      <c r="T61" s="517"/>
      <c r="U61" s="522" t="s">
        <v>628</v>
      </c>
    </row>
    <row r="62" spans="2:21" ht="15.75" thickBot="1" x14ac:dyDescent="0.3">
      <c r="B62" s="673"/>
      <c r="C62" s="573" t="e">
        <f>VLOOKUP($B$61,$B$50:$H$58,F$59,FALSE)</f>
        <v>#N/A</v>
      </c>
      <c r="D62" s="574" t="e">
        <f>VLOOKUP($B$61,$B$50:$H$58,G$59,FALSE)</f>
        <v>#N/A</v>
      </c>
      <c r="E62" s="574" t="e">
        <f>VLOOKUP($B$61,$B$50:$H$58,H$59,FALSE)</f>
        <v>#N/A</v>
      </c>
      <c r="F62" s="575">
        <v>0</v>
      </c>
      <c r="G62" s="81"/>
      <c r="H62" s="573" t="e">
        <f>HLOOKUP(H45,C60:F62,3,FALSE)</f>
        <v>#N/A</v>
      </c>
      <c r="I62" s="575">
        <v>2</v>
      </c>
      <c r="J62" s="81"/>
      <c r="K62" s="594"/>
      <c r="Q62" s="517">
        <v>0.57999999999999996</v>
      </c>
      <c r="R62" s="517"/>
      <c r="S62" s="517">
        <v>0.56999999999999995</v>
      </c>
      <c r="T62" s="517"/>
      <c r="U62" s="523" t="s">
        <v>629</v>
      </c>
    </row>
    <row r="63" spans="2:21" ht="15.75" thickBot="1" x14ac:dyDescent="0.3">
      <c r="B63" s="593"/>
      <c r="C63" s="81"/>
      <c r="D63" s="81"/>
      <c r="E63" s="81"/>
      <c r="F63" s="81"/>
      <c r="G63" s="81"/>
      <c r="H63" s="81"/>
      <c r="I63" s="81"/>
      <c r="J63" s="81"/>
      <c r="K63" s="594"/>
      <c r="Q63" s="517">
        <v>0.59</v>
      </c>
      <c r="R63" s="517"/>
      <c r="S63" s="517">
        <v>0.57999999999999996</v>
      </c>
      <c r="T63" s="517"/>
      <c r="U63" s="522" t="s">
        <v>630</v>
      </c>
    </row>
    <row r="64" spans="2:21" ht="15.75" thickBot="1" x14ac:dyDescent="0.3">
      <c r="B64" s="593"/>
      <c r="C64" s="81"/>
      <c r="D64" s="682" t="s">
        <v>414</v>
      </c>
      <c r="E64" s="667" t="s">
        <v>414</v>
      </c>
      <c r="F64" s="81"/>
      <c r="G64" s="81"/>
      <c r="H64" s="81"/>
      <c r="I64" s="81"/>
      <c r="J64" s="81"/>
      <c r="K64" s="594"/>
      <c r="Q64" s="517">
        <v>0.6</v>
      </c>
      <c r="R64" s="517"/>
      <c r="S64" s="517">
        <v>0.59</v>
      </c>
      <c r="T64" s="517"/>
      <c r="U64" s="523" t="s">
        <v>631</v>
      </c>
    </row>
    <row r="65" spans="2:21" ht="15.75" thickBot="1" x14ac:dyDescent="0.3">
      <c r="B65" s="593"/>
      <c r="C65" s="81"/>
      <c r="D65" s="593" t="e">
        <f>C61</f>
        <v>#N/A</v>
      </c>
      <c r="E65" s="669" t="str">
        <f>IFERROR(IF(H45=0,J56,IF(H45=J52,0,IF(H45=J53,D65,IF(H45=J54,D66,D67)))),"N/A")</f>
        <v>N/A</v>
      </c>
      <c r="F65" s="565">
        <f>IFERROR(IF(H61=J56,0,IF(H45=0,0,IF('Assessment Issue Scoring'!E709=Options!H61,Options!I61,IF('Assessment Issue Scoring'!E709=Options!H62,2,0)))),0)</f>
        <v>0</v>
      </c>
      <c r="G65" s="81"/>
      <c r="H65" s="81"/>
      <c r="I65" s="81"/>
      <c r="J65" s="81"/>
      <c r="K65" s="594"/>
      <c r="Q65" s="517">
        <v>0.61</v>
      </c>
      <c r="R65" s="517"/>
      <c r="S65" s="517">
        <v>0.6</v>
      </c>
      <c r="T65" s="517"/>
      <c r="U65" s="523" t="s">
        <v>632</v>
      </c>
    </row>
    <row r="66" spans="2:21" x14ac:dyDescent="0.25">
      <c r="B66" s="593"/>
      <c r="C66" s="81"/>
      <c r="D66" s="593" t="e">
        <f>D61</f>
        <v>#N/A</v>
      </c>
      <c r="E66" s="669" t="str">
        <f>IFERROR(IF(H45=0,J56,IF(H45=J52,0,IF(H45=J53,D66,IF(H45=J54,D67,D68)))),"N/A")</f>
        <v>N/A</v>
      </c>
      <c r="F66" s="81"/>
      <c r="G66" s="81"/>
      <c r="H66" s="81"/>
      <c r="I66" s="81"/>
      <c r="J66" s="81"/>
      <c r="K66" s="594"/>
      <c r="L66" s="81"/>
      <c r="Q66" s="517">
        <v>0.62</v>
      </c>
      <c r="R66" s="517"/>
      <c r="S66" s="517">
        <v>0.61</v>
      </c>
      <c r="T66" s="517"/>
      <c r="U66" s="523" t="s">
        <v>633</v>
      </c>
    </row>
    <row r="67" spans="2:21" ht="15.75" thickBot="1" x14ac:dyDescent="0.3">
      <c r="B67" s="593"/>
      <c r="C67" s="81"/>
      <c r="D67" s="593" t="e">
        <f>E61</f>
        <v>#N/A</v>
      </c>
      <c r="E67" s="668" t="s">
        <v>16</v>
      </c>
      <c r="F67" s="81"/>
      <c r="G67" s="81"/>
      <c r="H67" s="81"/>
      <c r="I67" s="81"/>
      <c r="J67" s="81"/>
      <c r="K67" s="594"/>
      <c r="L67" s="81"/>
      <c r="Q67" s="517">
        <v>0.63</v>
      </c>
      <c r="R67" s="517"/>
      <c r="S67" s="517">
        <v>0.62</v>
      </c>
      <c r="T67" s="517"/>
      <c r="U67" s="523" t="s">
        <v>634</v>
      </c>
    </row>
    <row r="68" spans="2:21" x14ac:dyDescent="0.25">
      <c r="B68" s="593"/>
      <c r="C68" s="81"/>
      <c r="D68" s="678" t="e">
        <f>E62</f>
        <v>#N/A</v>
      </c>
      <c r="E68" s="81"/>
      <c r="F68" s="81"/>
      <c r="G68" s="81"/>
      <c r="H68" s="81"/>
      <c r="I68" s="81"/>
      <c r="J68" s="81"/>
      <c r="K68" s="594"/>
      <c r="L68" s="81"/>
      <c r="Q68" s="517">
        <v>0.64</v>
      </c>
      <c r="R68" s="517"/>
      <c r="S68" s="517">
        <v>0.63</v>
      </c>
      <c r="T68" s="517"/>
      <c r="U68" s="522" t="s">
        <v>635</v>
      </c>
    </row>
    <row r="69" spans="2:21" ht="15.75" thickBot="1" x14ac:dyDescent="0.3">
      <c r="B69" s="684"/>
      <c r="C69" s="685"/>
      <c r="D69" s="664" t="s">
        <v>16</v>
      </c>
      <c r="E69" s="596"/>
      <c r="F69" s="596"/>
      <c r="G69" s="596"/>
      <c r="H69" s="596"/>
      <c r="I69" s="596"/>
      <c r="J69" s="596"/>
      <c r="K69" s="597"/>
      <c r="Q69" s="517">
        <v>0.65</v>
      </c>
      <c r="R69" s="517"/>
      <c r="S69" s="517">
        <v>0.64</v>
      </c>
      <c r="T69" s="517"/>
      <c r="U69" s="522" t="s">
        <v>636</v>
      </c>
    </row>
    <row r="70" spans="2:21" ht="15.75" thickBot="1" x14ac:dyDescent="0.3">
      <c r="Q70" s="517">
        <v>0.66</v>
      </c>
      <c r="R70" s="517"/>
      <c r="S70" s="517">
        <v>0.65</v>
      </c>
      <c r="T70" s="517"/>
      <c r="U70" s="522" t="s">
        <v>637</v>
      </c>
    </row>
    <row r="71" spans="2:21" x14ac:dyDescent="0.25">
      <c r="B71" s="568" t="s">
        <v>412</v>
      </c>
      <c r="C71" t="s">
        <v>1050</v>
      </c>
      <c r="Q71" s="517">
        <v>0.67</v>
      </c>
      <c r="R71" s="517"/>
      <c r="S71" s="517">
        <v>0.66</v>
      </c>
      <c r="T71" s="517"/>
      <c r="U71" s="522" t="s">
        <v>365</v>
      </c>
    </row>
    <row r="72" spans="2:21" x14ac:dyDescent="0.25">
      <c r="B72" s="571" t="s">
        <v>533</v>
      </c>
      <c r="C72" t="s">
        <v>1048</v>
      </c>
      <c r="Q72" s="517">
        <v>0.68</v>
      </c>
      <c r="R72" s="517"/>
      <c r="S72" s="517">
        <v>0.67</v>
      </c>
      <c r="T72" s="517"/>
      <c r="U72" s="523" t="s">
        <v>638</v>
      </c>
    </row>
    <row r="73" spans="2:21" x14ac:dyDescent="0.25">
      <c r="B73" s="571" t="s">
        <v>534</v>
      </c>
      <c r="C73" t="s">
        <v>1051</v>
      </c>
      <c r="Q73" s="517">
        <v>0.69</v>
      </c>
      <c r="R73" s="517"/>
      <c r="S73" s="517">
        <v>0.68</v>
      </c>
      <c r="T73" s="517"/>
      <c r="U73" s="523" t="s">
        <v>639</v>
      </c>
    </row>
    <row r="74" spans="2:21" x14ac:dyDescent="0.25">
      <c r="B74" s="571" t="s">
        <v>535</v>
      </c>
      <c r="C74" t="s">
        <v>1052</v>
      </c>
      <c r="Q74" s="517">
        <v>0.7</v>
      </c>
      <c r="R74" s="517"/>
      <c r="S74" s="517">
        <v>0.69</v>
      </c>
      <c r="T74" s="517"/>
      <c r="U74" s="523" t="s">
        <v>640</v>
      </c>
    </row>
    <row r="75" spans="2:21" x14ac:dyDescent="0.25">
      <c r="B75" s="579" t="s">
        <v>536</v>
      </c>
      <c r="C75" t="s">
        <v>1053</v>
      </c>
      <c r="Q75" s="517">
        <v>0.71</v>
      </c>
      <c r="R75" s="517"/>
      <c r="S75" s="517">
        <v>0.7</v>
      </c>
      <c r="T75" s="517"/>
      <c r="U75" s="523" t="s">
        <v>497</v>
      </c>
    </row>
    <row r="76" spans="2:21" x14ac:dyDescent="0.25">
      <c r="B76" s="571" t="s">
        <v>409</v>
      </c>
      <c r="C76" t="s">
        <v>11</v>
      </c>
      <c r="Q76" s="517">
        <v>0.72</v>
      </c>
      <c r="R76" s="517"/>
      <c r="S76" s="517">
        <v>0.71</v>
      </c>
      <c r="T76" s="517"/>
      <c r="U76" s="523" t="s">
        <v>641</v>
      </c>
    </row>
    <row r="77" spans="2:21" ht="15.75" thickBot="1" x14ac:dyDescent="0.3">
      <c r="B77" s="573" t="s">
        <v>537</v>
      </c>
      <c r="C77" t="s">
        <v>1049</v>
      </c>
      <c r="Q77" s="517">
        <v>0.73</v>
      </c>
      <c r="R77" s="517"/>
      <c r="S77" s="517">
        <v>0.72</v>
      </c>
      <c r="T77" s="517"/>
      <c r="U77" s="523" t="s">
        <v>482</v>
      </c>
    </row>
    <row r="78" spans="2:21" x14ac:dyDescent="0.25">
      <c r="Q78" s="517">
        <v>0.74</v>
      </c>
      <c r="R78" s="517"/>
      <c r="S78" s="517">
        <v>0.73</v>
      </c>
      <c r="T78" s="517"/>
      <c r="U78" s="523" t="s">
        <v>495</v>
      </c>
    </row>
    <row r="79" spans="2:21" x14ac:dyDescent="0.25">
      <c r="Q79" s="517">
        <v>0.75</v>
      </c>
      <c r="R79" s="517"/>
      <c r="S79" s="517">
        <v>0.74</v>
      </c>
      <c r="T79" s="517"/>
      <c r="U79" s="523" t="s">
        <v>642</v>
      </c>
    </row>
    <row r="80" spans="2:21" x14ac:dyDescent="0.25">
      <c r="Q80" s="517">
        <v>0.76</v>
      </c>
      <c r="R80" s="517"/>
      <c r="S80" s="517">
        <v>0.75</v>
      </c>
      <c r="T80" s="517"/>
      <c r="U80" s="523" t="s">
        <v>488</v>
      </c>
    </row>
    <row r="81" spans="2:21" x14ac:dyDescent="0.25">
      <c r="Q81" s="517">
        <v>0.77</v>
      </c>
      <c r="R81" s="517"/>
      <c r="S81" s="517">
        <v>0.76</v>
      </c>
      <c r="T81" s="517"/>
      <c r="U81" s="523" t="s">
        <v>643</v>
      </c>
    </row>
    <row r="82" spans="2:21" x14ac:dyDescent="0.25">
      <c r="Q82" s="517">
        <v>0.78</v>
      </c>
      <c r="R82" s="517"/>
      <c r="S82" s="517">
        <v>0.77</v>
      </c>
      <c r="T82" s="517"/>
      <c r="U82" s="523" t="s">
        <v>644</v>
      </c>
    </row>
    <row r="83" spans="2:21" x14ac:dyDescent="0.25">
      <c r="Q83" s="517">
        <v>0.79</v>
      </c>
      <c r="R83" s="517"/>
      <c r="S83" s="517">
        <v>0.78</v>
      </c>
      <c r="T83" s="517"/>
      <c r="U83" s="523" t="s">
        <v>645</v>
      </c>
    </row>
    <row r="84" spans="2:21" x14ac:dyDescent="0.25">
      <c r="Q84" s="517">
        <v>0.8</v>
      </c>
      <c r="R84" s="517"/>
      <c r="S84" s="517">
        <v>0.79</v>
      </c>
      <c r="T84" s="517"/>
      <c r="U84" s="523" t="s">
        <v>646</v>
      </c>
    </row>
    <row r="85" spans="2:21" x14ac:dyDescent="0.25">
      <c r="Q85" s="517">
        <v>0.81</v>
      </c>
      <c r="R85" s="517"/>
      <c r="S85" s="517">
        <v>0.8</v>
      </c>
      <c r="T85" s="517"/>
      <c r="U85" s="523" t="s">
        <v>647</v>
      </c>
    </row>
    <row r="86" spans="2:21" x14ac:dyDescent="0.25">
      <c r="Q86" s="517">
        <v>0.82</v>
      </c>
      <c r="R86" s="517"/>
      <c r="S86" s="517">
        <v>0.81</v>
      </c>
      <c r="T86" s="517"/>
      <c r="U86" s="523" t="s">
        <v>648</v>
      </c>
    </row>
    <row r="87" spans="2:21" x14ac:dyDescent="0.25">
      <c r="Q87" s="517">
        <v>0.83</v>
      </c>
      <c r="R87" s="517"/>
      <c r="S87" s="517">
        <v>0.82</v>
      </c>
      <c r="T87" s="517"/>
      <c r="U87" s="523" t="s">
        <v>649</v>
      </c>
    </row>
    <row r="88" spans="2:21" x14ac:dyDescent="0.25">
      <c r="Q88" s="517">
        <v>0.84</v>
      </c>
      <c r="R88" s="517"/>
      <c r="S88" s="517">
        <v>0.83</v>
      </c>
      <c r="T88" s="517"/>
      <c r="U88" s="523" t="s">
        <v>650</v>
      </c>
    </row>
    <row r="89" spans="2:21" x14ac:dyDescent="0.25">
      <c r="Q89" s="517">
        <v>0.85</v>
      </c>
      <c r="R89" s="517"/>
      <c r="S89" s="517">
        <v>0.84</v>
      </c>
      <c r="T89" s="517"/>
      <c r="U89" s="523" t="s">
        <v>651</v>
      </c>
    </row>
    <row r="90" spans="2:21" x14ac:dyDescent="0.25">
      <c r="Q90" s="517">
        <v>0.86</v>
      </c>
      <c r="R90" s="517"/>
      <c r="S90" s="517">
        <v>0.85</v>
      </c>
      <c r="T90" s="517"/>
      <c r="U90" s="523" t="s">
        <v>652</v>
      </c>
    </row>
    <row r="91" spans="2:21" x14ac:dyDescent="0.25">
      <c r="Q91" s="517">
        <v>0.87</v>
      </c>
      <c r="R91" s="517"/>
      <c r="S91" s="517">
        <v>0.86</v>
      </c>
      <c r="T91" s="517"/>
      <c r="U91" s="523" t="s">
        <v>653</v>
      </c>
    </row>
    <row r="92" spans="2:21" x14ac:dyDescent="0.25">
      <c r="Q92" s="517">
        <v>0.88</v>
      </c>
      <c r="R92" s="517"/>
      <c r="S92" s="517">
        <v>0.87</v>
      </c>
      <c r="T92" s="517"/>
      <c r="U92" s="523" t="s">
        <v>654</v>
      </c>
    </row>
    <row r="93" spans="2:21" x14ac:dyDescent="0.25">
      <c r="Q93" s="517">
        <v>0.89</v>
      </c>
      <c r="R93" s="517"/>
      <c r="S93" s="517">
        <v>0.88</v>
      </c>
      <c r="T93" s="517"/>
      <c r="U93" s="523" t="s">
        <v>655</v>
      </c>
    </row>
    <row r="94" spans="2:21" x14ac:dyDescent="0.25">
      <c r="Q94" s="517">
        <v>0.9</v>
      </c>
      <c r="R94" s="517"/>
      <c r="S94" s="517">
        <v>0.89</v>
      </c>
      <c r="T94" s="517"/>
      <c r="U94" s="523" t="s">
        <v>656</v>
      </c>
    </row>
    <row r="95" spans="2:21" x14ac:dyDescent="0.25">
      <c r="Q95" s="517">
        <v>0.91</v>
      </c>
      <c r="R95" s="517"/>
      <c r="S95" s="517">
        <v>0.9</v>
      </c>
      <c r="T95" s="517"/>
      <c r="U95" s="523" t="s">
        <v>657</v>
      </c>
    </row>
    <row r="96" spans="2:21" x14ac:dyDescent="0.25">
      <c r="B96" s="687" t="s">
        <v>1090</v>
      </c>
      <c r="Q96" s="517">
        <v>0.92</v>
      </c>
      <c r="R96" s="517"/>
      <c r="S96" s="517">
        <v>0.91</v>
      </c>
      <c r="T96" s="517"/>
      <c r="U96" s="525" t="s">
        <v>658</v>
      </c>
    </row>
    <row r="97" spans="2:21" x14ac:dyDescent="0.25">
      <c r="B97" s="610" t="s">
        <v>1141</v>
      </c>
      <c r="Q97" s="517">
        <v>0.93</v>
      </c>
      <c r="R97" s="517"/>
      <c r="S97" s="517">
        <v>0.92</v>
      </c>
      <c r="T97" s="517"/>
      <c r="U97" s="525" t="s">
        <v>659</v>
      </c>
    </row>
    <row r="98" spans="2:21" x14ac:dyDescent="0.25">
      <c r="B98" s="610" t="s">
        <v>1012</v>
      </c>
      <c r="Q98" s="517">
        <v>0.94</v>
      </c>
      <c r="R98" s="517"/>
      <c r="S98" s="517">
        <v>0.93</v>
      </c>
      <c r="T98" s="517"/>
      <c r="U98" s="525" t="s">
        <v>660</v>
      </c>
    </row>
    <row r="99" spans="2:21" x14ac:dyDescent="0.25">
      <c r="B99" s="610" t="s">
        <v>1025</v>
      </c>
      <c r="Q99" s="517">
        <v>0.95</v>
      </c>
      <c r="R99" s="517"/>
      <c r="S99" s="517">
        <v>0.94</v>
      </c>
      <c r="T99" s="517"/>
      <c r="U99" s="525" t="s">
        <v>661</v>
      </c>
    </row>
    <row r="100" spans="2:21" x14ac:dyDescent="0.25">
      <c r="B100" s="610"/>
      <c r="Q100" s="517">
        <v>0.96</v>
      </c>
      <c r="R100" s="517"/>
      <c r="S100" s="517">
        <v>0.95</v>
      </c>
      <c r="T100" s="517"/>
      <c r="U100" s="525" t="s">
        <v>662</v>
      </c>
    </row>
    <row r="101" spans="2:21" x14ac:dyDescent="0.25">
      <c r="B101" s="230"/>
      <c r="Q101" s="517">
        <v>0.97</v>
      </c>
      <c r="R101" s="517"/>
      <c r="S101" s="517">
        <v>0.96</v>
      </c>
      <c r="T101" s="517"/>
      <c r="U101" s="525" t="s">
        <v>490</v>
      </c>
    </row>
    <row r="102" spans="2:21" x14ac:dyDescent="0.25">
      <c r="B102" s="230"/>
      <c r="Q102" s="517">
        <v>0.98</v>
      </c>
      <c r="R102" s="517"/>
      <c r="S102" s="517">
        <v>0.97</v>
      </c>
      <c r="T102" s="517"/>
      <c r="U102" s="525" t="s">
        <v>489</v>
      </c>
    </row>
    <row r="103" spans="2:21" x14ac:dyDescent="0.25">
      <c r="B103" s="230"/>
      <c r="Q103" s="517">
        <v>0.99</v>
      </c>
      <c r="R103" s="517"/>
      <c r="S103" s="517">
        <v>0.98</v>
      </c>
      <c r="T103" s="517"/>
      <c r="U103" s="525" t="s">
        <v>663</v>
      </c>
    </row>
    <row r="104" spans="2:21" x14ac:dyDescent="0.25">
      <c r="B104" s="230"/>
      <c r="Q104" s="517">
        <v>1</v>
      </c>
      <c r="R104" s="517"/>
      <c r="S104" s="517">
        <v>0.99</v>
      </c>
      <c r="T104" s="517"/>
      <c r="U104" s="525" t="s">
        <v>664</v>
      </c>
    </row>
    <row r="105" spans="2:21" x14ac:dyDescent="0.25">
      <c r="B105" s="230"/>
      <c r="Q105" s="515" t="s">
        <v>16</v>
      </c>
      <c r="R105" s="515"/>
      <c r="S105" s="517">
        <v>1</v>
      </c>
      <c r="T105" s="517"/>
      <c r="U105" s="526" t="s">
        <v>665</v>
      </c>
    </row>
    <row r="106" spans="2:21" x14ac:dyDescent="0.25">
      <c r="B106" s="230"/>
      <c r="S106" s="515" t="s">
        <v>16</v>
      </c>
      <c r="T106" s="515"/>
      <c r="U106" s="522" t="s">
        <v>666</v>
      </c>
    </row>
    <row r="107" spans="2:21" x14ac:dyDescent="0.25">
      <c r="B107" s="610" t="s">
        <v>1089</v>
      </c>
      <c r="U107" s="49" t="s">
        <v>1021</v>
      </c>
    </row>
    <row r="108" spans="2:21" x14ac:dyDescent="0.25">
      <c r="B108" s="610" t="s">
        <v>1024</v>
      </c>
      <c r="U108" s="526" t="s">
        <v>1073</v>
      </c>
    </row>
    <row r="109" spans="2:21" x14ac:dyDescent="0.25">
      <c r="B109" s="610" t="s">
        <v>1071</v>
      </c>
    </row>
    <row r="110" spans="2:21" x14ac:dyDescent="0.25">
      <c r="B110" s="230"/>
    </row>
    <row r="111" spans="2:21" x14ac:dyDescent="0.25">
      <c r="B111" s="610" t="s">
        <v>1020</v>
      </c>
    </row>
    <row r="112" spans="2:21" x14ac:dyDescent="0.25">
      <c r="B112" s="610" t="s">
        <v>1022</v>
      </c>
    </row>
    <row r="113" spans="2:2" x14ac:dyDescent="0.25">
      <c r="B113" s="230" t="s">
        <v>1023</v>
      </c>
    </row>
    <row r="114" spans="2:2" x14ac:dyDescent="0.25">
      <c r="B114" s="610" t="s">
        <v>1088</v>
      </c>
    </row>
    <row r="115" spans="2:2" x14ac:dyDescent="0.25">
      <c r="B115" s="230"/>
    </row>
    <row r="116" spans="2:2" x14ac:dyDescent="0.25">
      <c r="B116" s="610" t="s">
        <v>1058</v>
      </c>
    </row>
  </sheetData>
  <sheetProtection algorithmName="SHA-512" hashValue="xRwrS8mkscD3Y5vvvDg2FGvEXCi6a+vB2dU0S13qWFeAVdAURsUFWSMPP0X7XUFCdF/8Yh7LmWe0M4He5Le0mQ==" saltValue="pQV0Cpq/bvvkRJFiNfcJGA==" spinCount="100000" sheet="1" objects="1" scenarios="1"/>
  <mergeCells count="3">
    <mergeCell ref="C48:E48"/>
    <mergeCell ref="F48:H48"/>
    <mergeCell ref="W2:Y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I25"/>
  <sheetViews>
    <sheetView workbookViewId="0">
      <selection activeCell="B24" sqref="B24:B25"/>
    </sheetView>
  </sheetViews>
  <sheetFormatPr defaultColWidth="9.140625" defaultRowHeight="15" x14ac:dyDescent="0.25"/>
  <sheetData>
    <row r="3" spans="2:9" x14ac:dyDescent="0.25">
      <c r="B3" t="s">
        <v>434</v>
      </c>
    </row>
    <row r="4" spans="2:9" ht="180.75" thickBot="1" x14ac:dyDescent="0.3">
      <c r="C4" s="563" t="s">
        <v>435</v>
      </c>
      <c r="D4" s="564" t="s">
        <v>546</v>
      </c>
      <c r="E4" s="564" t="s">
        <v>547</v>
      </c>
      <c r="F4" s="564" t="s">
        <v>548</v>
      </c>
      <c r="G4" s="562"/>
      <c r="H4" s="49" t="s">
        <v>437</v>
      </c>
      <c r="I4" s="49"/>
    </row>
    <row r="5" spans="2:9" x14ac:dyDescent="0.25">
      <c r="C5" s="506" t="s">
        <v>436</v>
      </c>
      <c r="D5" s="504"/>
      <c r="E5" s="504"/>
      <c r="F5" s="504"/>
      <c r="G5" s="562"/>
      <c r="H5" s="49"/>
      <c r="I5" s="49"/>
    </row>
    <row r="6" spans="2:9" x14ac:dyDescent="0.25">
      <c r="C6" s="507" t="s">
        <v>438</v>
      </c>
      <c r="D6" s="505"/>
      <c r="E6" s="505"/>
      <c r="F6" s="505"/>
      <c r="G6" s="562"/>
      <c r="H6" s="49"/>
      <c r="I6" s="49"/>
    </row>
    <row r="7" spans="2:9" x14ac:dyDescent="0.25">
      <c r="C7" s="507" t="s">
        <v>439</v>
      </c>
      <c r="D7" s="505"/>
      <c r="E7" s="505"/>
      <c r="F7" s="505"/>
      <c r="G7" s="562"/>
      <c r="H7" s="49"/>
      <c r="I7" s="49"/>
    </row>
    <row r="8" spans="2:9" x14ac:dyDescent="0.25">
      <c r="C8" s="507" t="s">
        <v>440</v>
      </c>
      <c r="D8" s="505"/>
      <c r="E8" s="505"/>
      <c r="F8" s="505"/>
      <c r="G8" s="562"/>
      <c r="H8" s="49"/>
      <c r="I8" s="49"/>
    </row>
    <row r="9" spans="2:9" x14ac:dyDescent="0.25">
      <c r="C9" s="507" t="s">
        <v>441</v>
      </c>
      <c r="D9" s="505"/>
      <c r="E9" s="505"/>
      <c r="F9" s="505"/>
      <c r="G9" s="562"/>
      <c r="H9" s="49"/>
      <c r="I9" s="49"/>
    </row>
    <row r="10" spans="2:9" ht="15.75" thickBot="1" x14ac:dyDescent="0.3">
      <c r="C10" s="508" t="s">
        <v>442</v>
      </c>
      <c r="D10" s="511"/>
      <c r="E10" s="511"/>
      <c r="F10" s="511"/>
      <c r="G10" s="562"/>
      <c r="H10" s="49"/>
      <c r="I10" s="49"/>
    </row>
    <row r="11" spans="2:9" x14ac:dyDescent="0.25">
      <c r="C11" s="562"/>
      <c r="D11" s="562"/>
      <c r="E11" s="562"/>
      <c r="F11" s="562"/>
      <c r="G11" s="562"/>
      <c r="H11" s="49"/>
      <c r="I11" s="49"/>
    </row>
    <row r="12" spans="2:9" ht="240.75" thickBot="1" x14ac:dyDescent="0.3">
      <c r="C12" s="563" t="s">
        <v>443</v>
      </c>
      <c r="D12" s="564"/>
      <c r="E12" s="562"/>
      <c r="F12" s="564"/>
      <c r="G12" s="562"/>
      <c r="H12" s="49"/>
      <c r="I12" s="49"/>
    </row>
    <row r="13" spans="2:9" ht="15.75" thickBot="1" x14ac:dyDescent="0.3">
      <c r="C13" s="506" t="s">
        <v>444</v>
      </c>
      <c r="D13" s="504" t="s">
        <v>445</v>
      </c>
      <c r="E13" s="562"/>
      <c r="F13" s="512"/>
      <c r="G13" s="562" t="s">
        <v>549</v>
      </c>
      <c r="H13" s="49"/>
      <c r="I13" s="49"/>
    </row>
    <row r="14" spans="2:9" ht="15.75" thickBot="1" x14ac:dyDescent="0.3">
      <c r="C14" s="508" t="s">
        <v>446</v>
      </c>
      <c r="D14" s="511"/>
      <c r="E14" s="562"/>
      <c r="F14" s="562"/>
      <c r="G14" s="562"/>
      <c r="H14" s="49"/>
      <c r="I14" s="49"/>
    </row>
    <row r="24" spans="2:2" x14ac:dyDescent="0.25">
      <c r="B24" t="s">
        <v>718</v>
      </c>
    </row>
    <row r="25" spans="2:2" x14ac:dyDescent="0.25">
      <c r="B25" t="s">
        <v>358</v>
      </c>
    </row>
  </sheetData>
  <protectedRanges>
    <protectedRange sqref="E4 C5:F10 E12 C13:F14" name="Sortering_2"/>
  </protectedRanges>
  <dataValidations count="1">
    <dataValidation operator="lessThanOrEqual" allowBlank="1" showInputMessage="1" showErrorMessage="1" errorTitle="Invalid entry" error="Cannot award more credits than available" sqref="D5:F10 D13:F14" xr:uid="{00000000-0002-0000-0A00-000000000000}"/>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103"/>
  <sheetViews>
    <sheetView workbookViewId="0">
      <selection activeCell="J13" sqref="J13"/>
    </sheetView>
  </sheetViews>
  <sheetFormatPr defaultColWidth="9.140625" defaultRowHeight="15" x14ac:dyDescent="0.25"/>
  <cols>
    <col min="1" max="16384" width="9.140625" style="49"/>
  </cols>
  <sheetData>
    <row r="1" spans="1:23" x14ac:dyDescent="0.25">
      <c r="A1" s="530" t="s">
        <v>502</v>
      </c>
      <c r="B1" s="531"/>
      <c r="C1" s="530" t="s">
        <v>503</v>
      </c>
      <c r="D1" s="531"/>
      <c r="E1" s="530" t="s">
        <v>504</v>
      </c>
      <c r="F1" s="531"/>
      <c r="G1" s="520" t="s">
        <v>26</v>
      </c>
      <c r="H1" s="531"/>
      <c r="I1" s="531"/>
      <c r="J1" s="520" t="s">
        <v>505</v>
      </c>
      <c r="K1" s="520"/>
      <c r="L1" s="520"/>
      <c r="M1" s="520"/>
      <c r="N1" s="520"/>
      <c r="O1" s="520"/>
      <c r="P1" s="520"/>
      <c r="Q1" s="520"/>
      <c r="R1" s="520"/>
      <c r="S1" s="531"/>
      <c r="T1" s="520" t="s">
        <v>506</v>
      </c>
      <c r="U1" s="520"/>
      <c r="V1" s="520" t="s">
        <v>507</v>
      </c>
      <c r="W1" s="532"/>
    </row>
    <row r="2" spans="1:23" ht="30" x14ac:dyDescent="0.25">
      <c r="A2" s="533" t="s">
        <v>360</v>
      </c>
      <c r="B2" s="524"/>
      <c r="C2" s="534" t="s">
        <v>16</v>
      </c>
      <c r="D2" s="535"/>
      <c r="E2" s="536" t="s">
        <v>508</v>
      </c>
      <c r="F2" s="535"/>
      <c r="G2" s="537" t="str">
        <f>ADAS0</f>
        <v>Pre-assessment</v>
      </c>
      <c r="H2" s="535"/>
      <c r="I2" s="537">
        <v>5</v>
      </c>
      <c r="J2" s="537" t="s">
        <v>509</v>
      </c>
      <c r="K2" s="538" t="s">
        <v>83</v>
      </c>
      <c r="L2" s="537"/>
      <c r="M2" s="539" t="s">
        <v>510</v>
      </c>
      <c r="N2" s="539" t="s">
        <v>511</v>
      </c>
      <c r="O2" s="539" t="s">
        <v>512</v>
      </c>
      <c r="P2" s="539" t="s">
        <v>513</v>
      </c>
      <c r="Q2" s="539" t="s">
        <v>514</v>
      </c>
      <c r="R2" s="539" t="s">
        <v>515</v>
      </c>
      <c r="S2" s="535"/>
      <c r="T2" s="535"/>
      <c r="U2" s="522"/>
      <c r="W2" s="540"/>
    </row>
    <row r="3" spans="1:23" x14ac:dyDescent="0.25">
      <c r="A3" s="537" t="s">
        <v>668</v>
      </c>
      <c r="B3" s="522"/>
      <c r="C3" s="541">
        <v>0</v>
      </c>
      <c r="D3" s="535"/>
      <c r="E3" s="542" t="s">
        <v>516</v>
      </c>
      <c r="F3" s="535"/>
      <c r="G3" s="543" t="str">
        <f>ADAS01</f>
        <v>Pre-assessment</v>
      </c>
      <c r="H3" s="535"/>
      <c r="I3" s="537">
        <v>4</v>
      </c>
      <c r="J3" s="537" t="s">
        <v>455</v>
      </c>
      <c r="K3" s="538" t="s">
        <v>82</v>
      </c>
      <c r="L3" s="544" t="s">
        <v>517</v>
      </c>
      <c r="M3" s="545">
        <f>IF(OR(ADPT=ADPT02,ADPT=ADPT04),0.5,1)</f>
        <v>1</v>
      </c>
      <c r="N3" s="545">
        <f>IF(OR(ADPT=ADPT02,ADPT=ADPT04),0.5,1)</f>
        <v>1</v>
      </c>
      <c r="O3" s="545">
        <f>IF(OR(ADPT=ADPT02,ADPT=ADPT04),0.5,1)</f>
        <v>1</v>
      </c>
      <c r="P3" s="545">
        <f>IF(OR(ADPT=ADPT02,ADPT=ADPT04),0.5,1)</f>
        <v>1</v>
      </c>
      <c r="Q3" s="545">
        <f>IF(OR(ADPT=ADPT02,ADPT=ADPT04),1,2)</f>
        <v>2</v>
      </c>
      <c r="R3" s="534"/>
      <c r="S3" s="535"/>
      <c r="U3" s="522"/>
      <c r="W3" s="540"/>
    </row>
    <row r="4" spans="1:23" ht="18" x14ac:dyDescent="0.25">
      <c r="A4" s="537" t="s">
        <v>15</v>
      </c>
      <c r="B4" s="522"/>
      <c r="C4" s="541">
        <v>0.01</v>
      </c>
      <c r="D4" s="535"/>
      <c r="E4" s="542" t="s">
        <v>518</v>
      </c>
      <c r="F4" s="535"/>
      <c r="G4" s="537" t="str">
        <f>ADAS02</f>
        <v>Design Stage (DS)</v>
      </c>
      <c r="H4" s="535"/>
      <c r="I4" s="537">
        <v>3</v>
      </c>
      <c r="J4" s="537" t="s">
        <v>361</v>
      </c>
      <c r="K4" s="538" t="s">
        <v>81</v>
      </c>
      <c r="L4" s="544" t="s">
        <v>519</v>
      </c>
      <c r="M4" s="546">
        <v>0</v>
      </c>
      <c r="N4" s="546">
        <v>0</v>
      </c>
      <c r="O4" s="546">
        <v>0</v>
      </c>
      <c r="P4" s="546">
        <v>1</v>
      </c>
      <c r="Q4" s="546">
        <v>2</v>
      </c>
      <c r="R4" s="534">
        <f>IF(Man02_Tot=Options!P4,I3,IF(Man02_Tot&gt;Options!P4,I2,I4))</f>
        <v>3</v>
      </c>
      <c r="S4" s="535"/>
      <c r="U4" s="522"/>
      <c r="W4" s="540"/>
    </row>
    <row r="5" spans="1:23" ht="18" x14ac:dyDescent="0.25">
      <c r="A5" s="537" t="s">
        <v>16</v>
      </c>
      <c r="B5" s="522"/>
      <c r="C5" s="541">
        <v>0.02</v>
      </c>
      <c r="D5" s="535"/>
      <c r="E5" s="536" t="s">
        <v>520</v>
      </c>
      <c r="F5" s="535"/>
      <c r="G5" s="535"/>
      <c r="H5" s="535"/>
      <c r="I5" s="537">
        <v>2</v>
      </c>
      <c r="J5" s="537" t="s">
        <v>396</v>
      </c>
      <c r="K5" s="538" t="s">
        <v>80</v>
      </c>
      <c r="L5" s="544" t="s">
        <v>521</v>
      </c>
      <c r="M5" s="534">
        <v>0</v>
      </c>
      <c r="N5" s="534">
        <v>1</v>
      </c>
      <c r="O5" s="534">
        <v>1</v>
      </c>
      <c r="P5" s="534">
        <v>1</v>
      </c>
      <c r="Q5" s="534">
        <v>1</v>
      </c>
      <c r="R5" s="534" t="e">
        <f>IF(ADBT0=ADBT8,5,IF(Man04_03=AIS_Yes,5,1))</f>
        <v>#NAME?</v>
      </c>
      <c r="S5" s="535"/>
      <c r="U5" s="522"/>
      <c r="W5" s="540"/>
    </row>
    <row r="6" spans="1:23" x14ac:dyDescent="0.25">
      <c r="A6" s="537" t="s">
        <v>571</v>
      </c>
      <c r="B6" s="535"/>
      <c r="C6" s="541">
        <v>0.03</v>
      </c>
      <c r="D6" s="535"/>
      <c r="E6" s="547" t="s">
        <v>525</v>
      </c>
      <c r="F6" s="535"/>
      <c r="G6" s="535"/>
      <c r="H6" s="535"/>
      <c r="I6" s="537">
        <v>1</v>
      </c>
      <c r="J6" s="537" t="s">
        <v>669</v>
      </c>
      <c r="K6" s="538" t="s">
        <v>79</v>
      </c>
      <c r="L6" s="544" t="s">
        <v>670</v>
      </c>
      <c r="M6" s="546">
        <v>0</v>
      </c>
      <c r="N6" s="548">
        <v>1</v>
      </c>
      <c r="O6" s="548">
        <v>1</v>
      </c>
      <c r="P6" s="548">
        <v>1</v>
      </c>
      <c r="Q6" s="546">
        <v>3</v>
      </c>
      <c r="R6" s="546">
        <f>IF(ADBT0=ADBT8,Q28,5)</f>
        <v>5</v>
      </c>
      <c r="S6" s="535"/>
      <c r="U6" s="522"/>
      <c r="W6" s="540"/>
    </row>
    <row r="7" spans="1:23" x14ac:dyDescent="0.25">
      <c r="A7" s="537" t="s">
        <v>445</v>
      </c>
      <c r="B7" s="522"/>
      <c r="C7" s="541">
        <v>0.04</v>
      </c>
      <c r="D7" s="535"/>
      <c r="E7" s="538" t="s">
        <v>529</v>
      </c>
      <c r="F7" s="535"/>
      <c r="G7" s="535"/>
      <c r="H7" s="535"/>
      <c r="I7" s="537">
        <v>0</v>
      </c>
      <c r="J7" s="537" t="s">
        <v>358</v>
      </c>
      <c r="K7" s="538" t="s">
        <v>77</v>
      </c>
      <c r="L7" s="544" t="s">
        <v>48</v>
      </c>
      <c r="M7" s="546" t="s">
        <v>671</v>
      </c>
      <c r="N7" s="546" t="s">
        <v>671</v>
      </c>
      <c r="O7" s="546" t="s">
        <v>671</v>
      </c>
      <c r="P7" s="546" t="s">
        <v>671</v>
      </c>
      <c r="Q7" s="546" t="s">
        <v>671</v>
      </c>
      <c r="R7" s="546" t="e">
        <f>IF(Hea01_01=AIS_Yes,I2,I7)</f>
        <v>#NAME?</v>
      </c>
      <c r="S7" s="535"/>
      <c r="U7" s="522"/>
      <c r="W7" s="540"/>
    </row>
    <row r="8" spans="1:23" x14ac:dyDescent="0.25">
      <c r="A8" s="538" t="s">
        <v>572</v>
      </c>
      <c r="B8" s="535"/>
      <c r="C8" s="541">
        <v>0.05</v>
      </c>
      <c r="D8" s="535"/>
      <c r="E8" s="537" t="s">
        <v>528</v>
      </c>
      <c r="F8" s="535"/>
      <c r="G8" s="535"/>
      <c r="H8" s="535"/>
      <c r="I8" s="535"/>
      <c r="J8" s="535"/>
      <c r="K8" s="535"/>
      <c r="L8" s="549" t="s">
        <v>672</v>
      </c>
      <c r="M8" s="546" t="s">
        <v>671</v>
      </c>
      <c r="N8" s="546" t="s">
        <v>671</v>
      </c>
      <c r="O8" s="546" t="s">
        <v>671</v>
      </c>
      <c r="P8" s="546" t="s">
        <v>671</v>
      </c>
      <c r="Q8" s="546" t="s">
        <v>671</v>
      </c>
      <c r="R8" s="546" t="e">
        <f>IF(OR(Hea02_00=AIS_No,Hea02_00=""),0,IF(Hea02_00=AIS_Yes,5))</f>
        <v>#NAME?</v>
      </c>
      <c r="S8" s="535"/>
      <c r="U8" s="522"/>
      <c r="W8" s="540"/>
    </row>
    <row r="9" spans="1:23" x14ac:dyDescent="0.25">
      <c r="A9" s="538" t="s">
        <v>573</v>
      </c>
      <c r="B9" s="522"/>
      <c r="C9" s="541">
        <v>0.06</v>
      </c>
      <c r="D9" s="535"/>
      <c r="E9" s="537" t="s">
        <v>523</v>
      </c>
      <c r="F9" s="535"/>
      <c r="G9" s="535"/>
      <c r="H9" s="535"/>
      <c r="I9" s="535"/>
      <c r="J9" s="535"/>
      <c r="K9" s="535"/>
      <c r="L9" s="544" t="s">
        <v>673</v>
      </c>
      <c r="M9" s="546" t="s">
        <v>671</v>
      </c>
      <c r="N9" s="546" t="s">
        <v>671</v>
      </c>
      <c r="O9" s="546" t="s">
        <v>671</v>
      </c>
      <c r="P9" s="546" t="s">
        <v>671</v>
      </c>
      <c r="Q9" s="546" t="s">
        <v>671</v>
      </c>
      <c r="R9" s="546" t="e">
        <f>IF(OR(Hea04_01=AIS_No,Hea04_01=""),0,IF(Hea04_01=AIS_Yes,5))</f>
        <v>#NAME?</v>
      </c>
      <c r="S9" s="535"/>
      <c r="U9" s="522"/>
      <c r="W9" s="540"/>
    </row>
    <row r="10" spans="1:23" x14ac:dyDescent="0.25">
      <c r="A10" s="538" t="s">
        <v>1</v>
      </c>
      <c r="B10" s="535"/>
      <c r="C10" s="541">
        <v>7.0000000000000007E-2</v>
      </c>
      <c r="D10" s="535"/>
      <c r="E10" s="537" t="s">
        <v>522</v>
      </c>
      <c r="F10" s="535"/>
      <c r="G10" s="535"/>
      <c r="H10" s="535"/>
      <c r="I10" s="535"/>
      <c r="J10" s="535"/>
      <c r="K10" s="535"/>
      <c r="L10" s="549" t="s">
        <v>674</v>
      </c>
      <c r="M10" s="534">
        <v>0</v>
      </c>
      <c r="N10" s="534">
        <v>0</v>
      </c>
      <c r="O10" s="534">
        <v>0</v>
      </c>
      <c r="P10" s="534">
        <v>0</v>
      </c>
      <c r="Q10" s="534">
        <v>1</v>
      </c>
      <c r="R10" s="534">
        <f>IF(ADBT0=ADBT8,IF(Hea08_tot=0,Min_Ex_Ref,Min_Out_Ref),Min_Out_Ref)</f>
        <v>5</v>
      </c>
      <c r="S10" s="535"/>
      <c r="U10" s="522"/>
      <c r="W10" s="540"/>
    </row>
    <row r="11" spans="1:23" x14ac:dyDescent="0.25">
      <c r="A11" s="538" t="s">
        <v>574</v>
      </c>
      <c r="B11" s="522"/>
      <c r="C11" s="541">
        <v>0.08</v>
      </c>
      <c r="D11" s="535"/>
      <c r="E11" s="537" t="s">
        <v>524</v>
      </c>
      <c r="F11" s="535"/>
      <c r="G11" s="535"/>
      <c r="H11" s="535"/>
      <c r="I11" s="535"/>
      <c r="J11" s="535"/>
      <c r="K11" s="535"/>
      <c r="L11" s="544" t="s">
        <v>675</v>
      </c>
      <c r="M11" s="546">
        <v>0</v>
      </c>
      <c r="N11" s="546">
        <v>0</v>
      </c>
      <c r="O11" s="546">
        <v>0</v>
      </c>
      <c r="P11" s="546">
        <v>6</v>
      </c>
      <c r="Q11" s="546">
        <v>10</v>
      </c>
      <c r="R11" s="546" t="e">
        <f>Ene01_75</f>
        <v>#NAME?</v>
      </c>
      <c r="S11" s="535"/>
      <c r="U11" s="522"/>
      <c r="W11" s="540"/>
    </row>
    <row r="12" spans="1:23" ht="17.25" x14ac:dyDescent="0.25">
      <c r="A12" s="538" t="s">
        <v>575</v>
      </c>
      <c r="B12" s="522"/>
      <c r="C12" s="541">
        <v>0.09</v>
      </c>
      <c r="D12" s="535"/>
      <c r="E12" s="537" t="s">
        <v>676</v>
      </c>
      <c r="F12" s="535"/>
      <c r="G12" s="535"/>
      <c r="H12" s="535"/>
      <c r="I12" s="535"/>
      <c r="J12" s="535"/>
      <c r="K12" s="535"/>
      <c r="L12" s="544" t="s">
        <v>677</v>
      </c>
      <c r="M12" s="546">
        <v>0</v>
      </c>
      <c r="N12" s="546">
        <v>0</v>
      </c>
      <c r="O12" s="545">
        <v>1</v>
      </c>
      <c r="P12" s="545">
        <v>1</v>
      </c>
      <c r="Q12" s="545">
        <v>1</v>
      </c>
      <c r="R12" s="550" t="e">
        <f>IF(ADBT0=ADBT8,5,IF(Ene02_02=AIS_Yes,5,2))</f>
        <v>#NAME?</v>
      </c>
      <c r="S12" s="535"/>
      <c r="U12" s="522"/>
      <c r="W12" s="540"/>
    </row>
    <row r="13" spans="1:23" x14ac:dyDescent="0.25">
      <c r="A13" s="535"/>
      <c r="B13" s="522"/>
      <c r="C13" s="541">
        <v>0.1</v>
      </c>
      <c r="D13" s="535"/>
      <c r="E13" s="537" t="s">
        <v>422</v>
      </c>
      <c r="F13" s="535"/>
      <c r="G13" s="535"/>
      <c r="H13" s="535"/>
      <c r="I13" s="535"/>
      <c r="J13" s="535"/>
      <c r="K13" s="535"/>
      <c r="L13" s="544" t="s">
        <v>678</v>
      </c>
      <c r="M13" s="546">
        <v>0</v>
      </c>
      <c r="N13" s="546">
        <v>0</v>
      </c>
      <c r="O13" s="546">
        <v>0</v>
      </c>
      <c r="P13" s="546">
        <v>1</v>
      </c>
      <c r="Q13" s="546">
        <v>1</v>
      </c>
      <c r="R13" s="546">
        <f>IF(Ene04_tot=0,Min_VG_Ref,IF(Ene04_tot&gt;0,Min_Out_Ref))</f>
        <v>5</v>
      </c>
      <c r="S13" s="535"/>
      <c r="U13" s="522"/>
      <c r="W13" s="540"/>
    </row>
    <row r="14" spans="1:23" x14ac:dyDescent="0.25">
      <c r="A14" s="535"/>
      <c r="B14" s="522"/>
      <c r="C14" s="541">
        <v>0.11</v>
      </c>
      <c r="D14" s="535"/>
      <c r="E14" s="533" t="s">
        <v>420</v>
      </c>
      <c r="F14" s="535"/>
      <c r="G14" s="535"/>
      <c r="H14" s="535"/>
      <c r="I14" s="535"/>
      <c r="J14" s="535"/>
      <c r="K14" s="535"/>
      <c r="L14" s="544" t="s">
        <v>679</v>
      </c>
      <c r="M14" s="546">
        <v>0</v>
      </c>
      <c r="N14" s="546">
        <v>0</v>
      </c>
      <c r="O14" s="546">
        <v>1</v>
      </c>
      <c r="P14" s="546">
        <v>1</v>
      </c>
      <c r="Q14" s="546">
        <v>2</v>
      </c>
      <c r="R14" s="546">
        <f>IF(OR(Wat01_tot=0,Wat01_tot=AIS_Missing_data),Min_Gd_Ref,IF(OR(Wat01_tot=2,Wat01_tot=3,Wat01_tot=4,Wat01_tot=5),Min_Out_Ref,Min_Ex_Ref))</f>
        <v>2</v>
      </c>
      <c r="S14" s="535"/>
      <c r="U14" s="522"/>
      <c r="W14" s="540"/>
    </row>
    <row r="15" spans="1:23" ht="17.25" x14ac:dyDescent="0.25">
      <c r="A15" s="535"/>
      <c r="B15" s="522"/>
      <c r="C15" s="541">
        <v>0.12</v>
      </c>
      <c r="D15" s="535"/>
      <c r="E15" s="533" t="s">
        <v>680</v>
      </c>
      <c r="F15" s="535"/>
      <c r="G15" s="535"/>
      <c r="H15" s="535"/>
      <c r="I15" s="535"/>
      <c r="J15" s="535"/>
      <c r="K15" s="535"/>
      <c r="L15" s="544" t="s">
        <v>681</v>
      </c>
      <c r="M15" s="546">
        <v>0</v>
      </c>
      <c r="N15" s="546" t="s">
        <v>671</v>
      </c>
      <c r="O15" s="546" t="s">
        <v>671</v>
      </c>
      <c r="P15" s="546" t="s">
        <v>671</v>
      </c>
      <c r="Q15" s="546" t="s">
        <v>671</v>
      </c>
      <c r="R15" s="546" t="e">
        <f>IF(Wat02_02=AIS_Yes,Min_Out_Ref,Min_Pas_Ref)</f>
        <v>#NAME?</v>
      </c>
      <c r="S15" s="535"/>
      <c r="U15" s="522"/>
      <c r="W15" s="540"/>
    </row>
    <row r="16" spans="1:23" ht="17.25" x14ac:dyDescent="0.25">
      <c r="A16" s="535"/>
      <c r="B16" s="535"/>
      <c r="C16" s="541">
        <v>0.13</v>
      </c>
      <c r="D16" s="535"/>
      <c r="E16" s="538" t="s">
        <v>682</v>
      </c>
      <c r="F16" s="540"/>
      <c r="G16" s="535"/>
      <c r="H16" s="535"/>
      <c r="I16" s="535"/>
      <c r="J16" s="535"/>
      <c r="K16" s="535"/>
      <c r="L16" s="544" t="s">
        <v>345</v>
      </c>
      <c r="M16" s="546">
        <v>0</v>
      </c>
      <c r="N16" s="546">
        <v>0</v>
      </c>
      <c r="O16" s="546">
        <v>0</v>
      </c>
      <c r="P16" s="546">
        <v>0</v>
      </c>
      <c r="Q16" s="546" t="s">
        <v>683</v>
      </c>
      <c r="R16" s="546" t="e">
        <f>IF(Mat03_06=AIS_Yes,Min_Out_Ref,Min_Ex_Ref)</f>
        <v>#NAME?</v>
      </c>
      <c r="S16" s="535"/>
      <c r="U16" s="522"/>
      <c r="W16" s="540"/>
    </row>
    <row r="17" spans="1:23" x14ac:dyDescent="0.25">
      <c r="A17" s="535"/>
      <c r="B17" s="522"/>
      <c r="C17" s="541">
        <v>0.14000000000000001</v>
      </c>
      <c r="D17" s="535"/>
      <c r="E17" s="551" t="s">
        <v>550</v>
      </c>
      <c r="F17" s="535"/>
      <c r="G17" s="535"/>
      <c r="H17" s="535"/>
      <c r="I17" s="535"/>
      <c r="J17" s="535"/>
      <c r="K17" s="535"/>
      <c r="L17" s="544" t="s">
        <v>684</v>
      </c>
      <c r="M17" s="546">
        <v>0</v>
      </c>
      <c r="N17" s="546">
        <v>0</v>
      </c>
      <c r="O17" s="546">
        <v>0</v>
      </c>
      <c r="P17" s="546">
        <v>0</v>
      </c>
      <c r="Q17" s="546">
        <v>1</v>
      </c>
      <c r="R17" s="546">
        <f>IF(Wst01_tot&gt;0,Min_Out_Ref,Min_Ex_Ref)</f>
        <v>4</v>
      </c>
      <c r="S17" s="535"/>
      <c r="U17" s="522"/>
      <c r="W17" s="540"/>
    </row>
    <row r="18" spans="1:23" x14ac:dyDescent="0.25">
      <c r="A18" s="535"/>
      <c r="B18" s="522"/>
      <c r="C18" s="541">
        <v>0.15</v>
      </c>
      <c r="D18" s="535"/>
      <c r="E18" s="537" t="s">
        <v>685</v>
      </c>
      <c r="F18" s="535"/>
      <c r="G18" s="535"/>
      <c r="H18" s="535"/>
      <c r="I18" s="535"/>
      <c r="J18" s="535"/>
      <c r="K18" s="535"/>
      <c r="L18" s="544" t="s">
        <v>686</v>
      </c>
      <c r="M18" s="546">
        <v>0</v>
      </c>
      <c r="N18" s="546">
        <v>0</v>
      </c>
      <c r="O18" s="546">
        <v>0</v>
      </c>
      <c r="P18" s="546">
        <v>1</v>
      </c>
      <c r="Q18" s="546">
        <v>1</v>
      </c>
      <c r="R18" s="546">
        <f>IF(Wst03_tot&gt;0,Min_Out_Ref,Min_VG_Ref)</f>
        <v>3</v>
      </c>
      <c r="S18" s="535"/>
      <c r="U18" s="522"/>
      <c r="W18" s="540"/>
    </row>
    <row r="19" spans="1:23" x14ac:dyDescent="0.25">
      <c r="A19" s="535"/>
      <c r="B19" s="522"/>
      <c r="C19" s="541">
        <v>0.16</v>
      </c>
      <c r="D19" s="535"/>
      <c r="E19" s="537" t="s">
        <v>687</v>
      </c>
      <c r="F19" s="535"/>
      <c r="G19" s="535"/>
      <c r="H19" s="535"/>
      <c r="I19" s="522"/>
      <c r="J19" s="535"/>
      <c r="K19" s="535"/>
      <c r="L19" s="535"/>
      <c r="M19" s="535"/>
      <c r="N19" s="535"/>
      <c r="O19" s="535"/>
      <c r="P19" s="535"/>
      <c r="Q19" s="552" t="s">
        <v>688</v>
      </c>
      <c r="R19" s="534" t="e">
        <f>MIN(AIS_Minstand)</f>
        <v>#NAME?</v>
      </c>
      <c r="S19" s="535"/>
      <c r="U19" s="535"/>
      <c r="W19" s="540"/>
    </row>
    <row r="20" spans="1:23" x14ac:dyDescent="0.25">
      <c r="A20" s="535"/>
      <c r="B20" s="522"/>
      <c r="C20" s="541">
        <v>0.17</v>
      </c>
      <c r="D20" s="535"/>
      <c r="E20" s="537" t="s">
        <v>422</v>
      </c>
      <c r="F20" s="535"/>
      <c r="G20" s="535"/>
      <c r="H20" s="535"/>
      <c r="I20" s="522"/>
      <c r="J20" s="535"/>
      <c r="K20" s="535"/>
      <c r="L20" s="535"/>
      <c r="M20" s="535"/>
      <c r="N20" s="535"/>
      <c r="O20" s="535"/>
      <c r="P20" s="535"/>
      <c r="Q20" s="553" t="s">
        <v>689</v>
      </c>
      <c r="R20" s="534" t="e">
        <f>VLOOKUP(BP_OverallScore,BP_rating_benchmarks,3,TRUE)</f>
        <v>#NAME?</v>
      </c>
      <c r="S20" s="535"/>
      <c r="U20" s="535"/>
      <c r="W20" s="540"/>
    </row>
    <row r="21" spans="1:23" ht="17.25" x14ac:dyDescent="0.25">
      <c r="A21" s="535"/>
      <c r="B21" s="522"/>
      <c r="C21" s="541">
        <v>0.18</v>
      </c>
      <c r="D21" s="535"/>
      <c r="E21" s="538" t="s">
        <v>690</v>
      </c>
      <c r="F21" s="535"/>
      <c r="G21" s="535"/>
      <c r="H21" s="535"/>
      <c r="I21" s="522"/>
      <c r="J21" s="535"/>
      <c r="K21" s="535"/>
      <c r="L21" s="535"/>
      <c r="M21" s="535"/>
      <c r="N21" s="535"/>
      <c r="O21" s="535"/>
      <c r="P21" s="535"/>
      <c r="Q21" s="553" t="s">
        <v>691</v>
      </c>
      <c r="R21" s="534" t="e">
        <f>IF(OR(AIS_BREEAM_rating_level=AIS_MinStandMin,AIS_MinStandMin&gt;AIS_BREEAM_rating_level),AIS_Yes,AIS_No)</f>
        <v>#NAME?</v>
      </c>
      <c r="S21" s="535"/>
      <c r="U21" s="535"/>
      <c r="W21" s="540"/>
    </row>
    <row r="22" spans="1:23" x14ac:dyDescent="0.25">
      <c r="A22" s="535"/>
      <c r="B22" s="522"/>
      <c r="C22" s="541">
        <v>0.19</v>
      </c>
      <c r="D22" s="535"/>
      <c r="E22" s="537" t="s">
        <v>667</v>
      </c>
      <c r="F22" s="535"/>
      <c r="G22" s="535"/>
      <c r="H22" s="535"/>
      <c r="I22" s="554"/>
      <c r="J22" s="535"/>
      <c r="K22" s="535"/>
      <c r="L22" s="555">
        <v>0</v>
      </c>
      <c r="M22" s="555" t="s">
        <v>77</v>
      </c>
      <c r="N22" s="534">
        <v>0</v>
      </c>
      <c r="O22" s="535"/>
      <c r="P22" s="535"/>
      <c r="Q22" s="535"/>
      <c r="R22" s="540"/>
      <c r="S22" s="535"/>
      <c r="U22" s="535"/>
      <c r="V22" s="535"/>
      <c r="W22" s="540"/>
    </row>
    <row r="23" spans="1:23" x14ac:dyDescent="0.25">
      <c r="A23" s="535"/>
      <c r="B23" s="535"/>
      <c r="C23" s="541">
        <v>0.2</v>
      </c>
      <c r="D23" s="535"/>
      <c r="E23" s="537" t="s">
        <v>692</v>
      </c>
      <c r="F23" s="535"/>
      <c r="G23" s="535"/>
      <c r="H23" s="535"/>
      <c r="I23" s="522"/>
      <c r="J23" s="535"/>
      <c r="K23" s="535"/>
      <c r="L23" s="555">
        <v>0.3</v>
      </c>
      <c r="M23" s="555" t="s">
        <v>79</v>
      </c>
      <c r="N23" s="534">
        <v>1</v>
      </c>
      <c r="O23" s="535"/>
      <c r="P23" s="535"/>
      <c r="Q23" s="535"/>
      <c r="R23" s="535"/>
      <c r="S23" s="535"/>
      <c r="U23" s="535"/>
      <c r="V23" s="535"/>
      <c r="W23" s="540"/>
    </row>
    <row r="24" spans="1:23" x14ac:dyDescent="0.25">
      <c r="A24" s="535"/>
      <c r="B24" s="522"/>
      <c r="C24" s="541">
        <v>0.21</v>
      </c>
      <c r="D24" s="535"/>
      <c r="E24" s="538" t="s">
        <v>485</v>
      </c>
      <c r="F24" s="535"/>
      <c r="G24" s="535"/>
      <c r="H24" s="535"/>
      <c r="I24" s="522"/>
      <c r="J24" s="535"/>
      <c r="K24" s="535"/>
      <c r="L24" s="555">
        <v>0.45</v>
      </c>
      <c r="M24" s="555" t="s">
        <v>80</v>
      </c>
      <c r="N24" s="534">
        <v>2</v>
      </c>
      <c r="O24" s="535"/>
      <c r="P24" s="538" t="s">
        <v>693</v>
      </c>
      <c r="Q24" s="537"/>
      <c r="R24" s="535"/>
      <c r="S24" s="535"/>
      <c r="T24" s="535"/>
      <c r="U24" s="535"/>
      <c r="V24" s="535"/>
      <c r="W24" s="540"/>
    </row>
    <row r="25" spans="1:23" x14ac:dyDescent="0.25">
      <c r="A25" s="535"/>
      <c r="B25" s="522"/>
      <c r="C25" s="541">
        <v>0.22</v>
      </c>
      <c r="D25" s="535"/>
      <c r="E25" s="538" t="s">
        <v>486</v>
      </c>
      <c r="F25" s="535"/>
      <c r="G25" s="535"/>
      <c r="H25" s="535"/>
      <c r="I25" s="522"/>
      <c r="J25" s="535"/>
      <c r="K25" s="535"/>
      <c r="L25" s="555">
        <v>0.55000000000000004</v>
      </c>
      <c r="M25" s="555" t="s">
        <v>81</v>
      </c>
      <c r="N25" s="534">
        <v>3</v>
      </c>
      <c r="O25" s="535"/>
      <c r="P25" s="549" t="s">
        <v>694</v>
      </c>
      <c r="Q25" s="556" t="e">
        <f>IF(AND(Man04_03b=AIS_Yes,Man04_02b=AIS_Yes),3,0)</f>
        <v>#NAME?</v>
      </c>
      <c r="R25" s="535"/>
      <c r="S25" s="535"/>
      <c r="T25" s="535"/>
      <c r="U25" s="554"/>
      <c r="V25" s="554"/>
      <c r="W25" s="540"/>
    </row>
    <row r="26" spans="1:23" x14ac:dyDescent="0.25">
      <c r="A26" s="535"/>
      <c r="B26" s="522"/>
      <c r="C26" s="541">
        <v>0.23</v>
      </c>
      <c r="D26" s="535"/>
      <c r="E26" s="538" t="s">
        <v>695</v>
      </c>
      <c r="F26" s="535"/>
      <c r="G26" s="540"/>
      <c r="H26" s="535"/>
      <c r="I26" s="522"/>
      <c r="J26" s="535"/>
      <c r="K26" s="535"/>
      <c r="L26" s="555">
        <v>0.7</v>
      </c>
      <c r="M26" s="555" t="s">
        <v>82</v>
      </c>
      <c r="N26" s="534">
        <v>4</v>
      </c>
      <c r="O26" s="535"/>
      <c r="P26" s="549" t="s">
        <v>696</v>
      </c>
      <c r="Q26" s="556" t="e">
        <f>IF(AND(Man04_03b=AIS_Yes,Man04_02b=AIS_No),1,0)</f>
        <v>#NAME?</v>
      </c>
      <c r="R26" s="535"/>
      <c r="S26" s="535"/>
      <c r="T26" s="535"/>
      <c r="U26" s="554"/>
      <c r="V26" s="554"/>
      <c r="W26" s="540"/>
    </row>
    <row r="27" spans="1:23" x14ac:dyDescent="0.25">
      <c r="A27" s="535"/>
      <c r="B27" s="522"/>
      <c r="C27" s="541">
        <v>0.24</v>
      </c>
      <c r="D27" s="535"/>
      <c r="E27" s="538" t="s">
        <v>491</v>
      </c>
      <c r="F27" s="535"/>
      <c r="G27" s="535"/>
      <c r="H27" s="535"/>
      <c r="I27" s="522"/>
      <c r="J27" s="535"/>
      <c r="K27" s="535"/>
      <c r="L27" s="555">
        <v>0.85</v>
      </c>
      <c r="M27" s="555" t="s">
        <v>83</v>
      </c>
      <c r="N27" s="534">
        <v>5</v>
      </c>
      <c r="O27" s="535"/>
      <c r="P27" s="549" t="s">
        <v>697</v>
      </c>
      <c r="Q27" s="537" t="e">
        <f>SUM(Q25:Q26)</f>
        <v>#NAME?</v>
      </c>
      <c r="R27" s="535"/>
      <c r="S27" s="535"/>
      <c r="T27" s="535"/>
      <c r="U27" s="554"/>
      <c r="V27" s="554"/>
      <c r="W27" s="540"/>
    </row>
    <row r="28" spans="1:23" x14ac:dyDescent="0.25">
      <c r="A28" s="535"/>
      <c r="B28" s="522"/>
      <c r="C28" s="541">
        <v>0.25</v>
      </c>
      <c r="D28" s="535"/>
      <c r="E28" s="538" t="s">
        <v>394</v>
      </c>
      <c r="F28" s="535"/>
      <c r="G28" s="535"/>
      <c r="H28" s="535"/>
      <c r="I28" s="535"/>
      <c r="J28" s="535"/>
      <c r="K28" s="535"/>
      <c r="L28" s="535"/>
      <c r="M28" s="535"/>
      <c r="N28" s="535"/>
      <c r="O28" s="535"/>
      <c r="P28" s="549" t="s">
        <v>698</v>
      </c>
      <c r="Q28" s="557" t="e">
        <f>IF(Q27=3,5,IF(Q27=1,4,IF(Q27=0,1,0)))</f>
        <v>#NAME?</v>
      </c>
      <c r="R28" s="535"/>
      <c r="S28" s="535"/>
      <c r="T28" s="535"/>
      <c r="U28" s="554"/>
      <c r="V28" s="554"/>
      <c r="W28" s="540"/>
    </row>
    <row r="29" spans="1:23" x14ac:dyDescent="0.25">
      <c r="A29" s="535"/>
      <c r="B29" s="522"/>
      <c r="C29" s="541">
        <v>0.26</v>
      </c>
      <c r="D29" s="535"/>
      <c r="E29" s="538" t="s">
        <v>699</v>
      </c>
      <c r="F29" s="535"/>
      <c r="G29" s="535"/>
      <c r="H29" s="535"/>
      <c r="I29" s="535"/>
      <c r="J29" s="535"/>
      <c r="K29" s="535"/>
      <c r="L29" s="535"/>
      <c r="M29" s="535"/>
      <c r="N29" s="535"/>
      <c r="O29" s="535"/>
      <c r="P29" s="535"/>
      <c r="Q29" s="535"/>
      <c r="R29" s="535"/>
      <c r="S29" s="535"/>
      <c r="T29" s="535"/>
      <c r="U29" s="554"/>
      <c r="V29" s="554"/>
      <c r="W29" s="540"/>
    </row>
    <row r="30" spans="1:23" x14ac:dyDescent="0.25">
      <c r="A30" s="535"/>
      <c r="B30" s="535"/>
      <c r="C30" s="541">
        <v>0.27</v>
      </c>
      <c r="D30" s="535"/>
      <c r="E30" s="537" t="s">
        <v>422</v>
      </c>
      <c r="F30" s="535"/>
      <c r="G30" s="535"/>
      <c r="H30" s="535"/>
      <c r="I30" s="535"/>
      <c r="J30" s="535"/>
      <c r="K30" s="535"/>
      <c r="L30" s="535"/>
      <c r="M30" s="535"/>
      <c r="N30" s="535"/>
      <c r="O30" s="535"/>
      <c r="P30" s="535"/>
      <c r="Q30" s="535"/>
      <c r="R30" s="535"/>
      <c r="S30" s="535"/>
      <c r="T30" s="535"/>
      <c r="U30" s="554"/>
      <c r="V30" s="554"/>
      <c r="W30" s="540"/>
    </row>
    <row r="31" spans="1:23" x14ac:dyDescent="0.25">
      <c r="A31" s="535"/>
      <c r="B31" s="554"/>
      <c r="C31" s="541">
        <v>0.28000000000000003</v>
      </c>
      <c r="D31" s="535"/>
      <c r="E31" s="537" t="s">
        <v>464</v>
      </c>
      <c r="F31" s="535"/>
      <c r="G31" s="535"/>
      <c r="H31" s="535"/>
      <c r="I31" s="535"/>
      <c r="J31" s="535"/>
      <c r="K31" s="535"/>
      <c r="L31" s="535"/>
      <c r="M31" s="535"/>
      <c r="N31" s="535"/>
      <c r="O31" s="535"/>
      <c r="P31" s="535"/>
      <c r="Q31" s="535"/>
      <c r="R31" s="535"/>
      <c r="S31" s="535"/>
      <c r="T31" s="535"/>
      <c r="U31" s="554"/>
      <c r="V31" s="554"/>
      <c r="W31" s="540"/>
    </row>
    <row r="32" spans="1:23" x14ac:dyDescent="0.25">
      <c r="A32" s="535"/>
      <c r="B32" s="554"/>
      <c r="C32" s="541">
        <v>0.28999999999999998</v>
      </c>
      <c r="D32" s="535"/>
      <c r="E32" s="537" t="s">
        <v>550</v>
      </c>
      <c r="F32" s="535"/>
      <c r="G32" s="535"/>
      <c r="H32" s="535"/>
      <c r="I32" s="535"/>
      <c r="J32" s="535"/>
      <c r="K32" s="535"/>
      <c r="L32" s="535"/>
      <c r="M32" s="535"/>
      <c r="N32" s="535"/>
      <c r="O32" s="535"/>
      <c r="P32" s="535"/>
      <c r="Q32" s="535"/>
      <c r="R32" s="535"/>
      <c r="S32" s="535"/>
      <c r="T32" s="535"/>
      <c r="U32" s="554"/>
      <c r="V32" s="554"/>
      <c r="W32" s="540"/>
    </row>
    <row r="33" spans="1:23" x14ac:dyDescent="0.25">
      <c r="A33" s="535"/>
      <c r="B33" s="554"/>
      <c r="C33" s="541">
        <v>0.3</v>
      </c>
      <c r="D33" s="535"/>
      <c r="E33" s="535"/>
      <c r="F33" s="535"/>
      <c r="G33" s="535"/>
      <c r="H33" s="535"/>
      <c r="I33" s="535"/>
      <c r="J33" s="535"/>
      <c r="K33" s="535"/>
      <c r="L33" s="535"/>
      <c r="M33" s="535"/>
      <c r="N33" s="535"/>
      <c r="O33" s="535"/>
      <c r="P33" s="535"/>
      <c r="Q33" s="535"/>
      <c r="R33" s="535"/>
      <c r="S33" s="535"/>
      <c r="T33" s="535"/>
      <c r="U33" s="554"/>
      <c r="V33" s="554"/>
      <c r="W33" s="540"/>
    </row>
    <row r="34" spans="1:23" x14ac:dyDescent="0.25">
      <c r="A34" s="535"/>
      <c r="B34" s="554"/>
      <c r="C34" s="541">
        <v>0.31</v>
      </c>
      <c r="D34" s="535"/>
      <c r="E34" s="535"/>
      <c r="F34" s="535"/>
      <c r="G34" s="535"/>
      <c r="H34" s="535"/>
      <c r="I34" s="535"/>
      <c r="J34" s="535"/>
      <c r="K34" s="535"/>
      <c r="L34" s="535"/>
      <c r="M34" s="535"/>
      <c r="N34" s="535"/>
      <c r="O34" s="535"/>
      <c r="P34" s="535"/>
      <c r="Q34" s="535"/>
      <c r="R34" s="535"/>
      <c r="S34" s="535"/>
      <c r="T34" s="535"/>
      <c r="U34" s="554"/>
      <c r="V34" s="554"/>
      <c r="W34" s="540"/>
    </row>
    <row r="35" spans="1:23" x14ac:dyDescent="0.25">
      <c r="A35" s="535"/>
      <c r="B35" s="554"/>
      <c r="C35" s="541">
        <v>0.32</v>
      </c>
      <c r="D35" s="535"/>
      <c r="E35" s="535"/>
      <c r="F35" s="535"/>
      <c r="G35" s="535"/>
      <c r="H35" s="535"/>
      <c r="I35" s="535"/>
      <c r="J35" s="535"/>
      <c r="K35" s="535"/>
      <c r="L35" s="535"/>
      <c r="M35" s="535"/>
      <c r="N35" s="535"/>
      <c r="O35" s="535"/>
      <c r="P35" s="535"/>
      <c r="Q35" s="535"/>
      <c r="R35" s="535"/>
      <c r="S35" s="535"/>
      <c r="T35" s="535"/>
      <c r="U35" s="554"/>
      <c r="V35" s="554"/>
      <c r="W35" s="540"/>
    </row>
    <row r="36" spans="1:23" x14ac:dyDescent="0.25">
      <c r="A36" s="535"/>
      <c r="B36" s="554"/>
      <c r="C36" s="541">
        <v>0.33</v>
      </c>
      <c r="D36" s="535"/>
      <c r="E36" s="535"/>
      <c r="F36" s="535"/>
      <c r="G36" s="535"/>
      <c r="H36" s="535"/>
      <c r="I36" s="535"/>
      <c r="J36" s="535"/>
      <c r="K36" s="535"/>
      <c r="L36" s="535"/>
      <c r="M36" s="535"/>
      <c r="N36" s="535"/>
      <c r="O36" s="535"/>
      <c r="P36" s="535"/>
      <c r="Q36" s="535"/>
      <c r="R36" s="535"/>
      <c r="S36" s="535"/>
      <c r="T36" s="535"/>
      <c r="U36" s="554"/>
      <c r="V36" s="554"/>
      <c r="W36" s="540"/>
    </row>
    <row r="37" spans="1:23" x14ac:dyDescent="0.25">
      <c r="A37" s="535"/>
      <c r="B37" s="554"/>
      <c r="C37" s="541">
        <v>0.34</v>
      </c>
      <c r="D37" s="535"/>
      <c r="E37" s="535"/>
      <c r="F37" s="535"/>
      <c r="G37" s="535"/>
      <c r="H37" s="535"/>
      <c r="I37" s="535"/>
      <c r="J37" s="535"/>
      <c r="K37" s="535"/>
      <c r="L37" s="535"/>
      <c r="M37" s="535"/>
      <c r="N37" s="535"/>
      <c r="O37" s="535"/>
      <c r="P37" s="535"/>
      <c r="Q37" s="535"/>
      <c r="R37" s="535"/>
      <c r="S37" s="535"/>
      <c r="T37" s="535"/>
      <c r="U37" s="554"/>
      <c r="V37" s="554"/>
      <c r="W37" s="540"/>
    </row>
    <row r="38" spans="1:23" x14ac:dyDescent="0.25">
      <c r="A38" s="535"/>
      <c r="B38" s="554"/>
      <c r="C38" s="541">
        <v>0.35</v>
      </c>
      <c r="D38" s="535"/>
      <c r="E38" s="535"/>
      <c r="F38" s="535"/>
      <c r="G38" s="535"/>
      <c r="H38" s="535"/>
      <c r="I38" s="535"/>
      <c r="J38" s="535"/>
      <c r="K38" s="535"/>
      <c r="L38" s="535"/>
      <c r="M38" s="535"/>
      <c r="N38" s="535"/>
      <c r="O38" s="535"/>
      <c r="P38" s="535"/>
      <c r="Q38" s="535"/>
      <c r="R38" s="535"/>
      <c r="S38" s="535"/>
      <c r="T38" s="535"/>
      <c r="U38" s="554"/>
      <c r="V38" s="554"/>
      <c r="W38" s="540"/>
    </row>
    <row r="39" spans="1:23" x14ac:dyDescent="0.25">
      <c r="A39" s="535"/>
      <c r="B39" s="554"/>
      <c r="C39" s="541">
        <v>0.36</v>
      </c>
      <c r="D39" s="535"/>
      <c r="E39" s="535"/>
      <c r="F39" s="535"/>
      <c r="G39" s="535"/>
      <c r="H39" s="535"/>
      <c r="I39" s="535"/>
      <c r="J39" s="535"/>
      <c r="K39" s="535"/>
      <c r="L39" s="535"/>
      <c r="M39" s="535"/>
      <c r="N39" s="535"/>
      <c r="O39" s="535"/>
      <c r="P39" s="535"/>
      <c r="Q39" s="535"/>
      <c r="R39" s="535"/>
      <c r="S39" s="535"/>
      <c r="T39" s="535"/>
      <c r="U39" s="554"/>
      <c r="V39" s="554"/>
      <c r="W39" s="540"/>
    </row>
    <row r="40" spans="1:23" x14ac:dyDescent="0.25">
      <c r="A40" s="535"/>
      <c r="B40" s="554"/>
      <c r="C40" s="541">
        <v>0.37</v>
      </c>
      <c r="D40" s="535"/>
      <c r="E40" s="535"/>
      <c r="F40" s="535"/>
      <c r="G40" s="535"/>
      <c r="H40" s="535"/>
      <c r="I40" s="535"/>
      <c r="J40" s="535"/>
      <c r="K40" s="535"/>
      <c r="L40" s="535"/>
      <c r="M40" s="535"/>
      <c r="N40" s="535"/>
      <c r="O40" s="535"/>
      <c r="P40" s="535"/>
      <c r="Q40" s="535"/>
      <c r="R40" s="535"/>
      <c r="S40" s="535"/>
      <c r="T40" s="535"/>
      <c r="U40" s="554"/>
      <c r="V40" s="554"/>
      <c r="W40" s="540"/>
    </row>
    <row r="41" spans="1:23" x14ac:dyDescent="0.25">
      <c r="A41" s="535"/>
      <c r="B41" s="554"/>
      <c r="C41" s="541">
        <v>0.38</v>
      </c>
      <c r="D41" s="535"/>
      <c r="E41" s="535"/>
      <c r="F41" s="535"/>
      <c r="G41" s="535"/>
      <c r="H41" s="535"/>
      <c r="I41" s="535"/>
      <c r="J41" s="535"/>
      <c r="K41" s="535"/>
      <c r="L41" s="535"/>
      <c r="M41" s="535"/>
      <c r="N41" s="535"/>
      <c r="O41" s="535"/>
      <c r="P41" s="535"/>
      <c r="Q41" s="535"/>
      <c r="R41" s="535"/>
      <c r="S41" s="535"/>
      <c r="T41" s="535"/>
      <c r="U41" s="554"/>
      <c r="V41" s="554"/>
      <c r="W41" s="540"/>
    </row>
    <row r="42" spans="1:23" x14ac:dyDescent="0.25">
      <c r="A42" s="535"/>
      <c r="B42" s="554"/>
      <c r="C42" s="541">
        <v>0.39</v>
      </c>
      <c r="D42" s="535"/>
      <c r="E42" s="535"/>
      <c r="F42" s="535"/>
      <c r="G42" s="535"/>
      <c r="H42" s="535"/>
      <c r="I42" s="535"/>
      <c r="J42" s="535"/>
      <c r="K42" s="535"/>
      <c r="L42" s="535"/>
      <c r="M42" s="535"/>
      <c r="N42" s="535"/>
      <c r="O42" s="535"/>
      <c r="P42" s="535"/>
      <c r="Q42" s="535"/>
      <c r="R42" s="535"/>
      <c r="S42" s="535"/>
      <c r="T42" s="535"/>
      <c r="U42" s="554"/>
      <c r="V42" s="554"/>
      <c r="W42" s="540"/>
    </row>
    <row r="43" spans="1:23" x14ac:dyDescent="0.25">
      <c r="A43" s="535"/>
      <c r="B43" s="554"/>
      <c r="C43" s="541">
        <v>0.4</v>
      </c>
      <c r="D43" s="535"/>
      <c r="E43" s="535"/>
      <c r="F43" s="535"/>
      <c r="G43" s="535"/>
      <c r="H43" s="535"/>
      <c r="I43" s="535"/>
      <c r="J43" s="535"/>
      <c r="K43" s="535"/>
      <c r="L43" s="535"/>
      <c r="M43" s="535"/>
      <c r="N43" s="535"/>
      <c r="O43" s="535"/>
      <c r="P43" s="535"/>
      <c r="Q43" s="535"/>
      <c r="R43" s="535"/>
      <c r="S43" s="535"/>
      <c r="T43" s="535"/>
      <c r="U43" s="554"/>
      <c r="V43" s="554"/>
      <c r="W43" s="540"/>
    </row>
    <row r="44" spans="1:23" x14ac:dyDescent="0.25">
      <c r="A44" s="535"/>
      <c r="B44" s="554"/>
      <c r="C44" s="541">
        <v>0.41</v>
      </c>
      <c r="D44" s="535"/>
      <c r="E44" s="535"/>
      <c r="F44" s="535"/>
      <c r="G44" s="535"/>
      <c r="H44" s="535"/>
      <c r="I44" s="535"/>
      <c r="J44" s="535"/>
      <c r="K44" s="535"/>
      <c r="L44" s="535"/>
      <c r="M44" s="535"/>
      <c r="N44" s="535"/>
      <c r="O44" s="535"/>
      <c r="P44" s="535"/>
      <c r="Q44" s="535"/>
      <c r="R44" s="535"/>
      <c r="S44" s="535"/>
      <c r="T44" s="535"/>
      <c r="U44" s="554"/>
      <c r="V44" s="554"/>
      <c r="W44" s="540"/>
    </row>
    <row r="45" spans="1:23" x14ac:dyDescent="0.25">
      <c r="A45" s="535"/>
      <c r="B45" s="554"/>
      <c r="C45" s="541">
        <v>0.42</v>
      </c>
      <c r="D45" s="535"/>
      <c r="E45" s="535"/>
      <c r="F45" s="535"/>
      <c r="G45" s="535"/>
      <c r="H45" s="535"/>
      <c r="I45" s="535"/>
      <c r="J45" s="535"/>
      <c r="K45" s="535"/>
      <c r="L45" s="535"/>
      <c r="M45" s="535"/>
      <c r="N45" s="535"/>
      <c r="O45" s="535"/>
      <c r="P45" s="535"/>
      <c r="Q45" s="535"/>
      <c r="R45" s="535"/>
      <c r="S45" s="535"/>
      <c r="T45" s="535"/>
      <c r="U45" s="554"/>
      <c r="V45" s="554"/>
      <c r="W45" s="540"/>
    </row>
    <row r="46" spans="1:23" x14ac:dyDescent="0.25">
      <c r="A46" s="535"/>
      <c r="B46" s="554"/>
      <c r="C46" s="541">
        <v>0.43</v>
      </c>
      <c r="D46" s="535"/>
      <c r="E46" s="535"/>
      <c r="F46" s="535"/>
      <c r="G46" s="535"/>
      <c r="H46" s="535"/>
      <c r="I46" s="535"/>
      <c r="J46" s="535"/>
      <c r="K46" s="535"/>
      <c r="L46" s="535"/>
      <c r="M46" s="535"/>
      <c r="N46" s="535"/>
      <c r="O46" s="535"/>
      <c r="P46" s="535"/>
      <c r="Q46" s="535"/>
      <c r="R46" s="535"/>
      <c r="S46" s="535"/>
      <c r="T46" s="535"/>
      <c r="U46" s="535"/>
      <c r="V46" s="535"/>
      <c r="W46" s="540"/>
    </row>
    <row r="47" spans="1:23" x14ac:dyDescent="0.25">
      <c r="A47" s="535"/>
      <c r="B47" s="554"/>
      <c r="C47" s="541">
        <v>0.44</v>
      </c>
      <c r="D47" s="535"/>
      <c r="E47" s="535"/>
      <c r="F47" s="535"/>
      <c r="G47" s="535"/>
      <c r="H47" s="535"/>
      <c r="I47" s="535"/>
      <c r="J47" s="535"/>
      <c r="K47" s="535"/>
      <c r="L47" s="535"/>
      <c r="M47" s="535"/>
      <c r="N47" s="535"/>
      <c r="O47" s="535"/>
      <c r="P47" s="535"/>
      <c r="Q47" s="535"/>
      <c r="R47" s="535"/>
      <c r="S47" s="535"/>
      <c r="T47" s="535"/>
      <c r="U47" s="535"/>
      <c r="V47" s="535"/>
      <c r="W47" s="540"/>
    </row>
    <row r="48" spans="1:23" x14ac:dyDescent="0.25">
      <c r="A48" s="535"/>
      <c r="B48" s="554"/>
      <c r="C48" s="541">
        <v>0.45</v>
      </c>
      <c r="D48" s="535"/>
      <c r="E48" s="535"/>
      <c r="F48" s="535"/>
      <c r="G48" s="535"/>
      <c r="H48" s="535"/>
      <c r="I48" s="535"/>
      <c r="J48" s="535"/>
      <c r="K48" s="535"/>
      <c r="L48" s="535"/>
      <c r="M48" s="535"/>
      <c r="N48" s="535"/>
      <c r="O48" s="535"/>
      <c r="P48" s="535"/>
      <c r="Q48" s="535"/>
      <c r="R48" s="535"/>
      <c r="S48" s="535"/>
      <c r="T48" s="535"/>
      <c r="U48" s="535"/>
      <c r="V48" s="535"/>
      <c r="W48" s="540"/>
    </row>
    <row r="49" spans="1:23" x14ac:dyDescent="0.25">
      <c r="A49" s="535"/>
      <c r="B49" s="554"/>
      <c r="C49" s="541">
        <v>0.46</v>
      </c>
      <c r="D49" s="535"/>
      <c r="E49" s="535"/>
      <c r="F49" s="535"/>
      <c r="G49" s="535"/>
      <c r="H49" s="535"/>
      <c r="I49" s="535"/>
      <c r="J49" s="535"/>
      <c r="K49" s="535"/>
      <c r="L49" s="535"/>
      <c r="M49" s="535"/>
      <c r="N49" s="535"/>
      <c r="O49" s="535"/>
      <c r="P49" s="535"/>
      <c r="Q49" s="535"/>
      <c r="R49" s="535"/>
      <c r="S49" s="535"/>
      <c r="T49" s="535"/>
      <c r="U49" s="535"/>
      <c r="V49" s="535"/>
      <c r="W49" s="540"/>
    </row>
    <row r="50" spans="1:23" x14ac:dyDescent="0.25">
      <c r="A50" s="535"/>
      <c r="B50" s="554"/>
      <c r="C50" s="541">
        <v>0.47</v>
      </c>
      <c r="D50" s="535"/>
      <c r="E50" s="535"/>
      <c r="F50" s="535"/>
      <c r="G50" s="535"/>
      <c r="H50" s="535"/>
      <c r="I50" s="535"/>
      <c r="J50" s="535"/>
      <c r="K50" s="535"/>
      <c r="L50" s="535"/>
      <c r="M50" s="535"/>
      <c r="N50" s="535"/>
      <c r="O50" s="535"/>
      <c r="P50" s="535"/>
      <c r="Q50" s="535"/>
      <c r="R50" s="535"/>
      <c r="S50" s="535"/>
      <c r="T50" s="535"/>
      <c r="U50" s="535"/>
      <c r="V50" s="535"/>
      <c r="W50" s="540"/>
    </row>
    <row r="51" spans="1:23" x14ac:dyDescent="0.25">
      <c r="A51" s="535"/>
      <c r="B51" s="554"/>
      <c r="C51" s="541">
        <v>0.48</v>
      </c>
      <c r="D51" s="535"/>
      <c r="E51" s="535"/>
      <c r="F51" s="535"/>
      <c r="G51" s="535"/>
      <c r="H51" s="535"/>
      <c r="I51" s="535"/>
      <c r="J51" s="535"/>
      <c r="K51" s="535"/>
      <c r="L51" s="535"/>
      <c r="M51" s="535"/>
      <c r="N51" s="535"/>
      <c r="O51" s="535"/>
      <c r="P51" s="535"/>
      <c r="Q51" s="535"/>
      <c r="R51" s="535"/>
      <c r="S51" s="535"/>
      <c r="T51" s="535"/>
      <c r="U51" s="535"/>
      <c r="V51" s="535"/>
      <c r="W51" s="540"/>
    </row>
    <row r="52" spans="1:23" x14ac:dyDescent="0.25">
      <c r="A52" s="535"/>
      <c r="B52" s="535"/>
      <c r="C52" s="541">
        <v>0.49</v>
      </c>
      <c r="D52" s="535"/>
      <c r="E52" s="535"/>
      <c r="F52" s="535"/>
      <c r="G52" s="535"/>
      <c r="H52" s="535"/>
      <c r="I52" s="535"/>
      <c r="J52" s="535"/>
      <c r="K52" s="535"/>
      <c r="L52" s="535"/>
      <c r="M52" s="535"/>
      <c r="N52" s="535"/>
      <c r="O52" s="535"/>
      <c r="P52" s="535"/>
      <c r="Q52" s="535"/>
      <c r="R52" s="535"/>
      <c r="S52" s="535"/>
      <c r="T52" s="535"/>
      <c r="U52" s="535"/>
      <c r="V52" s="535"/>
      <c r="W52" s="540"/>
    </row>
    <row r="53" spans="1:23" x14ac:dyDescent="0.25">
      <c r="A53" s="535"/>
      <c r="B53" s="535"/>
      <c r="C53" s="541">
        <v>0.5</v>
      </c>
      <c r="D53" s="535"/>
      <c r="E53" s="535"/>
      <c r="F53" s="535"/>
      <c r="G53" s="535"/>
      <c r="H53" s="535"/>
      <c r="I53" s="535"/>
      <c r="J53" s="535"/>
      <c r="K53" s="535"/>
      <c r="L53" s="535"/>
      <c r="M53" s="535"/>
      <c r="N53" s="535"/>
      <c r="O53" s="535"/>
      <c r="P53" s="535"/>
      <c r="Q53" s="535"/>
      <c r="R53" s="535"/>
      <c r="S53" s="535"/>
      <c r="T53" s="535"/>
      <c r="U53" s="535"/>
      <c r="V53" s="535"/>
      <c r="W53" s="540"/>
    </row>
    <row r="54" spans="1:23" x14ac:dyDescent="0.25">
      <c r="A54" s="535"/>
      <c r="B54" s="535"/>
      <c r="C54" s="541">
        <v>0.51</v>
      </c>
      <c r="D54" s="535"/>
      <c r="E54" s="535"/>
      <c r="F54" s="535"/>
      <c r="G54" s="535"/>
      <c r="H54" s="535"/>
      <c r="I54" s="535"/>
      <c r="J54" s="535"/>
      <c r="K54" s="535"/>
      <c r="L54" s="535"/>
      <c r="M54" s="535"/>
      <c r="N54" s="535"/>
      <c r="O54" s="535"/>
      <c r="P54" s="535"/>
      <c r="Q54" s="535"/>
      <c r="R54" s="535"/>
      <c r="S54" s="535"/>
      <c r="T54" s="535"/>
      <c r="U54" s="535"/>
      <c r="V54" s="535"/>
      <c r="W54" s="540"/>
    </row>
    <row r="55" spans="1:23" x14ac:dyDescent="0.25">
      <c r="A55" s="535"/>
      <c r="B55" s="535"/>
      <c r="C55" s="541">
        <v>0.52</v>
      </c>
      <c r="D55" s="535"/>
      <c r="E55" s="535"/>
      <c r="F55" s="535"/>
      <c r="G55" s="535"/>
      <c r="H55" s="535"/>
      <c r="I55" s="535"/>
      <c r="J55" s="535"/>
      <c r="K55" s="535"/>
      <c r="L55" s="535"/>
      <c r="M55" s="535"/>
      <c r="N55" s="535"/>
      <c r="O55" s="535"/>
      <c r="P55" s="535"/>
      <c r="Q55" s="535"/>
      <c r="R55" s="535"/>
      <c r="S55" s="535"/>
      <c r="T55" s="535"/>
      <c r="U55" s="535"/>
      <c r="V55" s="535"/>
      <c r="W55" s="540"/>
    </row>
    <row r="56" spans="1:23" x14ac:dyDescent="0.25">
      <c r="A56" s="535"/>
      <c r="B56" s="535"/>
      <c r="C56" s="541">
        <v>0.53</v>
      </c>
      <c r="D56" s="535"/>
      <c r="E56" s="535"/>
      <c r="F56" s="535"/>
      <c r="G56" s="535"/>
      <c r="H56" s="535"/>
      <c r="I56" s="535"/>
      <c r="J56" s="535"/>
      <c r="K56" s="535"/>
      <c r="L56" s="535"/>
      <c r="M56" s="535"/>
      <c r="N56" s="535"/>
      <c r="O56" s="535"/>
      <c r="P56" s="535"/>
      <c r="Q56" s="535"/>
      <c r="R56" s="535"/>
      <c r="S56" s="535"/>
      <c r="T56" s="535"/>
      <c r="U56" s="535"/>
      <c r="V56" s="535"/>
      <c r="W56" s="540"/>
    </row>
    <row r="57" spans="1:23" x14ac:dyDescent="0.25">
      <c r="A57" s="535"/>
      <c r="B57" s="535"/>
      <c r="C57" s="541">
        <v>0.54</v>
      </c>
      <c r="D57" s="535"/>
      <c r="E57" s="535"/>
      <c r="F57" s="535"/>
      <c r="G57" s="535"/>
      <c r="H57" s="535"/>
      <c r="I57" s="535"/>
      <c r="J57" s="535"/>
      <c r="K57" s="535"/>
      <c r="L57" s="535"/>
      <c r="M57" s="535"/>
      <c r="N57" s="535"/>
      <c r="O57" s="535"/>
      <c r="P57" s="535"/>
      <c r="Q57" s="535"/>
      <c r="R57" s="535"/>
      <c r="S57" s="535"/>
      <c r="T57" s="535"/>
      <c r="U57" s="535"/>
      <c r="V57" s="535"/>
      <c r="W57" s="540"/>
    </row>
    <row r="58" spans="1:23" x14ac:dyDescent="0.25">
      <c r="A58" s="535"/>
      <c r="B58" s="535"/>
      <c r="C58" s="541">
        <v>0.55000000000000004</v>
      </c>
      <c r="D58" s="535"/>
      <c r="E58" s="535"/>
      <c r="F58" s="535"/>
      <c r="G58" s="535"/>
      <c r="H58" s="535"/>
      <c r="I58" s="535"/>
      <c r="J58" s="535"/>
      <c r="K58" s="535"/>
      <c r="L58" s="535"/>
      <c r="M58" s="535"/>
      <c r="N58" s="535"/>
      <c r="O58" s="535"/>
      <c r="P58" s="535"/>
      <c r="Q58" s="535"/>
      <c r="R58" s="535"/>
      <c r="S58" s="535"/>
      <c r="T58" s="535"/>
      <c r="U58" s="535"/>
      <c r="V58" s="535"/>
      <c r="W58" s="540"/>
    </row>
    <row r="59" spans="1:23" x14ac:dyDescent="0.25">
      <c r="A59" s="535"/>
      <c r="B59" s="535"/>
      <c r="C59" s="541">
        <v>0.56000000000000005</v>
      </c>
      <c r="D59" s="535"/>
      <c r="E59" s="535"/>
      <c r="F59" s="535"/>
      <c r="G59" s="535"/>
      <c r="H59" s="535"/>
      <c r="I59" s="535"/>
      <c r="J59" s="535"/>
      <c r="K59" s="535"/>
      <c r="L59" s="535"/>
      <c r="M59" s="535"/>
      <c r="N59" s="535"/>
      <c r="O59" s="535"/>
      <c r="P59" s="535"/>
      <c r="Q59" s="535"/>
      <c r="R59" s="535"/>
      <c r="S59" s="535"/>
      <c r="T59" s="535"/>
      <c r="U59" s="535"/>
      <c r="V59" s="535"/>
      <c r="W59" s="540"/>
    </row>
    <row r="60" spans="1:23" x14ac:dyDescent="0.25">
      <c r="A60" s="535"/>
      <c r="B60" s="535"/>
      <c r="C60" s="541">
        <v>0.56999999999999995</v>
      </c>
      <c r="D60" s="535"/>
      <c r="E60" s="535"/>
      <c r="F60" s="535"/>
      <c r="G60" s="535"/>
      <c r="H60" s="535"/>
      <c r="I60" s="535"/>
      <c r="J60" s="535"/>
      <c r="K60" s="535"/>
      <c r="L60" s="535"/>
      <c r="M60" s="535"/>
      <c r="N60" s="535"/>
      <c r="O60" s="535"/>
      <c r="P60" s="535"/>
      <c r="Q60" s="535"/>
      <c r="R60" s="535"/>
      <c r="S60" s="535"/>
      <c r="T60" s="535"/>
      <c r="U60" s="535"/>
      <c r="V60" s="535"/>
      <c r="W60" s="540"/>
    </row>
    <row r="61" spans="1:23" x14ac:dyDescent="0.25">
      <c r="A61" s="535"/>
      <c r="B61" s="535"/>
      <c r="C61" s="541">
        <v>0.57999999999999996</v>
      </c>
      <c r="D61" s="535"/>
      <c r="E61" s="535"/>
      <c r="F61" s="535"/>
      <c r="G61" s="535"/>
      <c r="H61" s="535"/>
      <c r="I61" s="535"/>
      <c r="J61" s="535"/>
      <c r="K61" s="535"/>
      <c r="L61" s="535"/>
      <c r="M61" s="535"/>
      <c r="N61" s="535"/>
      <c r="O61" s="535"/>
      <c r="P61" s="535"/>
      <c r="Q61" s="535"/>
      <c r="R61" s="535"/>
      <c r="S61" s="535"/>
      <c r="T61" s="535"/>
      <c r="U61" s="535"/>
      <c r="V61" s="535"/>
      <c r="W61" s="540"/>
    </row>
    <row r="62" spans="1:23" x14ac:dyDescent="0.25">
      <c r="A62" s="535"/>
      <c r="B62" s="535"/>
      <c r="C62" s="541">
        <v>0.59</v>
      </c>
      <c r="D62" s="535"/>
      <c r="E62" s="535"/>
      <c r="F62" s="535"/>
      <c r="G62" s="535"/>
      <c r="H62" s="535"/>
      <c r="I62" s="535"/>
      <c r="J62" s="535"/>
      <c r="K62" s="535"/>
      <c r="L62" s="535"/>
      <c r="M62" s="535"/>
      <c r="N62" s="535"/>
      <c r="O62" s="535"/>
      <c r="P62" s="535"/>
      <c r="Q62" s="535"/>
      <c r="R62" s="535"/>
      <c r="S62" s="535"/>
      <c r="T62" s="535"/>
      <c r="U62" s="535"/>
      <c r="V62" s="535"/>
      <c r="W62" s="540"/>
    </row>
    <row r="63" spans="1:23" x14ac:dyDescent="0.25">
      <c r="A63" s="535"/>
      <c r="B63" s="535"/>
      <c r="C63" s="541">
        <v>0.6</v>
      </c>
      <c r="D63" s="535"/>
      <c r="E63" s="535"/>
      <c r="F63" s="535"/>
      <c r="G63" s="535"/>
      <c r="H63" s="535"/>
      <c r="I63" s="535"/>
      <c r="J63" s="535"/>
      <c r="K63" s="535"/>
      <c r="L63" s="535"/>
      <c r="M63" s="535"/>
      <c r="N63" s="535"/>
      <c r="O63" s="535"/>
      <c r="P63" s="535"/>
      <c r="Q63" s="535"/>
      <c r="R63" s="535"/>
      <c r="S63" s="535"/>
      <c r="T63" s="535"/>
      <c r="U63" s="535"/>
      <c r="V63" s="535"/>
      <c r="W63" s="540"/>
    </row>
    <row r="64" spans="1:23" x14ac:dyDescent="0.25">
      <c r="A64" s="535"/>
      <c r="B64" s="535"/>
      <c r="C64" s="541">
        <v>0.61</v>
      </c>
      <c r="D64" s="535"/>
      <c r="E64" s="535"/>
      <c r="F64" s="535"/>
      <c r="G64" s="535"/>
      <c r="H64" s="535"/>
      <c r="I64" s="535"/>
      <c r="J64" s="535"/>
      <c r="K64" s="535"/>
      <c r="L64" s="535"/>
      <c r="M64" s="535"/>
      <c r="N64" s="535"/>
      <c r="O64" s="535"/>
      <c r="P64" s="535"/>
      <c r="Q64" s="535"/>
      <c r="R64" s="535"/>
      <c r="S64" s="535"/>
      <c r="T64" s="535"/>
      <c r="U64" s="535"/>
      <c r="V64" s="535"/>
      <c r="W64" s="540"/>
    </row>
    <row r="65" spans="1:23" x14ac:dyDescent="0.25">
      <c r="A65" s="535"/>
      <c r="B65" s="535"/>
      <c r="C65" s="541">
        <v>0.62</v>
      </c>
      <c r="D65" s="535"/>
      <c r="E65" s="535"/>
      <c r="F65" s="535"/>
      <c r="G65" s="535"/>
      <c r="H65" s="535"/>
      <c r="I65" s="535"/>
      <c r="J65" s="535"/>
      <c r="K65" s="535"/>
      <c r="L65" s="535"/>
      <c r="M65" s="535"/>
      <c r="N65" s="535"/>
      <c r="O65" s="535"/>
      <c r="P65" s="535"/>
      <c r="Q65" s="535"/>
      <c r="R65" s="535"/>
      <c r="S65" s="535"/>
      <c r="T65" s="535"/>
      <c r="U65" s="535"/>
      <c r="V65" s="535"/>
      <c r="W65" s="540"/>
    </row>
    <row r="66" spans="1:23" x14ac:dyDescent="0.25">
      <c r="A66" s="535"/>
      <c r="B66" s="535"/>
      <c r="C66" s="541">
        <v>0.63</v>
      </c>
      <c r="D66" s="535"/>
      <c r="E66" s="535"/>
      <c r="F66" s="535"/>
      <c r="G66" s="535"/>
      <c r="H66" s="535"/>
      <c r="I66" s="535"/>
      <c r="J66" s="535"/>
      <c r="K66" s="535"/>
      <c r="L66" s="535"/>
      <c r="M66" s="535"/>
      <c r="N66" s="535"/>
      <c r="O66" s="535"/>
      <c r="P66" s="535"/>
      <c r="Q66" s="535"/>
      <c r="R66" s="535"/>
      <c r="S66" s="535"/>
      <c r="T66" s="535"/>
      <c r="U66" s="535"/>
      <c r="V66" s="535"/>
      <c r="W66" s="540"/>
    </row>
    <row r="67" spans="1:23" x14ac:dyDescent="0.25">
      <c r="A67" s="535"/>
      <c r="B67" s="535"/>
      <c r="C67" s="541">
        <v>0.64</v>
      </c>
      <c r="D67" s="535"/>
      <c r="E67" s="535"/>
      <c r="F67" s="535"/>
      <c r="G67" s="535"/>
      <c r="H67" s="535"/>
      <c r="I67" s="535"/>
      <c r="J67" s="535"/>
      <c r="K67" s="535"/>
      <c r="L67" s="535"/>
      <c r="M67" s="535"/>
      <c r="N67" s="535"/>
      <c r="O67" s="535"/>
      <c r="P67" s="535"/>
      <c r="Q67" s="535"/>
      <c r="R67" s="535"/>
      <c r="S67" s="535"/>
      <c r="T67" s="535"/>
      <c r="U67" s="535"/>
      <c r="V67" s="535"/>
      <c r="W67" s="540"/>
    </row>
    <row r="68" spans="1:23" x14ac:dyDescent="0.25">
      <c r="A68" s="535"/>
      <c r="B68" s="535"/>
      <c r="C68" s="541">
        <v>0.65</v>
      </c>
      <c r="D68" s="535"/>
      <c r="E68" s="535"/>
      <c r="F68" s="535"/>
      <c r="G68" s="535"/>
      <c r="H68" s="535"/>
      <c r="I68" s="535"/>
      <c r="J68" s="535"/>
      <c r="K68" s="535"/>
      <c r="L68" s="535"/>
      <c r="M68" s="535"/>
      <c r="N68" s="535"/>
      <c r="O68" s="535"/>
      <c r="P68" s="535"/>
      <c r="Q68" s="535"/>
      <c r="R68" s="535"/>
      <c r="S68" s="535"/>
      <c r="T68" s="535"/>
      <c r="U68" s="535"/>
      <c r="V68" s="535"/>
      <c r="W68" s="540"/>
    </row>
    <row r="69" spans="1:23" x14ac:dyDescent="0.25">
      <c r="A69" s="535"/>
      <c r="B69" s="535"/>
      <c r="C69" s="541">
        <v>0.66</v>
      </c>
      <c r="D69" s="535"/>
      <c r="E69" s="535"/>
      <c r="F69" s="535"/>
      <c r="G69" s="535"/>
      <c r="H69" s="535"/>
      <c r="I69" s="535"/>
      <c r="J69" s="535"/>
      <c r="K69" s="535"/>
      <c r="L69" s="535"/>
      <c r="M69" s="535"/>
      <c r="N69" s="535"/>
      <c r="O69" s="535"/>
      <c r="P69" s="535"/>
      <c r="Q69" s="535"/>
      <c r="R69" s="535"/>
      <c r="S69" s="535"/>
      <c r="T69" s="535"/>
      <c r="U69" s="535"/>
      <c r="V69" s="535"/>
      <c r="W69" s="540"/>
    </row>
    <row r="70" spans="1:23" x14ac:dyDescent="0.25">
      <c r="A70" s="535"/>
      <c r="B70" s="535"/>
      <c r="C70" s="541">
        <v>0.67</v>
      </c>
      <c r="D70" s="535"/>
      <c r="E70" s="535"/>
      <c r="F70" s="535"/>
      <c r="G70" s="535"/>
      <c r="H70" s="535"/>
      <c r="I70" s="535"/>
      <c r="J70" s="535"/>
      <c r="K70" s="535"/>
      <c r="L70" s="535"/>
      <c r="M70" s="535"/>
      <c r="N70" s="535"/>
      <c r="O70" s="535"/>
      <c r="P70" s="535"/>
      <c r="Q70" s="535"/>
      <c r="R70" s="535"/>
      <c r="S70" s="535"/>
      <c r="T70" s="535"/>
      <c r="U70" s="535"/>
      <c r="V70" s="535"/>
      <c r="W70" s="540"/>
    </row>
    <row r="71" spans="1:23" x14ac:dyDescent="0.25">
      <c r="A71" s="535"/>
      <c r="B71" s="535"/>
      <c r="C71" s="541">
        <v>0.68</v>
      </c>
      <c r="D71" s="535"/>
      <c r="E71" s="535"/>
      <c r="F71" s="535"/>
      <c r="G71" s="535"/>
      <c r="H71" s="535"/>
      <c r="I71" s="535"/>
      <c r="J71" s="535"/>
      <c r="K71" s="535"/>
      <c r="L71" s="535"/>
      <c r="M71" s="535"/>
      <c r="N71" s="535"/>
      <c r="O71" s="535"/>
      <c r="P71" s="535"/>
      <c r="Q71" s="535"/>
      <c r="R71" s="535"/>
      <c r="S71" s="535"/>
      <c r="T71" s="535"/>
      <c r="U71" s="535"/>
      <c r="V71" s="535"/>
      <c r="W71" s="540"/>
    </row>
    <row r="72" spans="1:23" x14ac:dyDescent="0.25">
      <c r="A72" s="535"/>
      <c r="B72" s="535"/>
      <c r="C72" s="541">
        <v>0.69</v>
      </c>
      <c r="D72" s="535"/>
      <c r="E72" s="535"/>
      <c r="F72" s="535"/>
      <c r="G72" s="535"/>
      <c r="H72" s="535"/>
      <c r="I72" s="535"/>
      <c r="J72" s="535"/>
      <c r="K72" s="535"/>
      <c r="L72" s="535"/>
      <c r="M72" s="535"/>
      <c r="N72" s="535"/>
      <c r="O72" s="535"/>
      <c r="P72" s="535"/>
      <c r="Q72" s="535"/>
      <c r="R72" s="535"/>
      <c r="S72" s="535"/>
      <c r="T72" s="535"/>
      <c r="U72" s="535"/>
      <c r="V72" s="535"/>
      <c r="W72" s="540"/>
    </row>
    <row r="73" spans="1:23" x14ac:dyDescent="0.25">
      <c r="A73" s="535"/>
      <c r="B73" s="535"/>
      <c r="C73" s="541">
        <v>0.7</v>
      </c>
      <c r="D73" s="535"/>
      <c r="E73" s="535"/>
      <c r="F73" s="535"/>
      <c r="G73" s="535"/>
      <c r="H73" s="535"/>
      <c r="I73" s="535"/>
      <c r="J73" s="535"/>
      <c r="K73" s="535"/>
      <c r="L73" s="535"/>
      <c r="M73" s="535"/>
      <c r="N73" s="535"/>
      <c r="O73" s="535"/>
      <c r="P73" s="535"/>
      <c r="Q73" s="535"/>
      <c r="R73" s="535"/>
      <c r="S73" s="535"/>
      <c r="T73" s="535"/>
      <c r="U73" s="535"/>
      <c r="V73" s="535"/>
      <c r="W73" s="540"/>
    </row>
    <row r="74" spans="1:23" x14ac:dyDescent="0.25">
      <c r="A74" s="535"/>
      <c r="B74" s="535"/>
      <c r="C74" s="541">
        <v>0.71</v>
      </c>
      <c r="D74" s="535"/>
      <c r="E74" s="535"/>
      <c r="F74" s="535"/>
      <c r="G74" s="535"/>
      <c r="H74" s="535"/>
      <c r="I74" s="535"/>
      <c r="J74" s="535"/>
      <c r="K74" s="535"/>
      <c r="L74" s="535"/>
      <c r="M74" s="535"/>
      <c r="N74" s="535"/>
      <c r="O74" s="535"/>
      <c r="P74" s="535"/>
      <c r="Q74" s="535"/>
      <c r="R74" s="535"/>
      <c r="S74" s="535"/>
      <c r="T74" s="535"/>
      <c r="U74" s="535"/>
      <c r="V74" s="535"/>
      <c r="W74" s="540"/>
    </row>
    <row r="75" spans="1:23" x14ac:dyDescent="0.25">
      <c r="A75" s="535"/>
      <c r="B75" s="535"/>
      <c r="C75" s="541">
        <v>0.72</v>
      </c>
      <c r="D75" s="535"/>
      <c r="E75" s="535"/>
      <c r="F75" s="535"/>
      <c r="G75" s="535"/>
      <c r="H75" s="535"/>
      <c r="I75" s="535"/>
      <c r="J75" s="535"/>
      <c r="K75" s="535"/>
      <c r="L75" s="535"/>
      <c r="M75" s="535"/>
      <c r="N75" s="535"/>
      <c r="O75" s="535"/>
      <c r="P75" s="535"/>
      <c r="Q75" s="535"/>
      <c r="R75" s="535"/>
      <c r="S75" s="535"/>
      <c r="T75" s="535"/>
      <c r="U75" s="535"/>
      <c r="V75" s="535"/>
      <c r="W75" s="540"/>
    </row>
    <row r="76" spans="1:23" x14ac:dyDescent="0.25">
      <c r="A76" s="535"/>
      <c r="B76" s="535"/>
      <c r="C76" s="541">
        <v>0.73</v>
      </c>
      <c r="D76" s="535"/>
      <c r="E76" s="535"/>
      <c r="F76" s="535"/>
      <c r="G76" s="535"/>
      <c r="H76" s="535"/>
      <c r="I76" s="535"/>
      <c r="J76" s="535"/>
      <c r="K76" s="535"/>
      <c r="L76" s="535"/>
      <c r="M76" s="535"/>
      <c r="N76" s="535"/>
      <c r="O76" s="535"/>
      <c r="P76" s="535"/>
      <c r="Q76" s="535"/>
      <c r="R76" s="535"/>
      <c r="S76" s="535"/>
      <c r="T76" s="535"/>
      <c r="U76" s="535"/>
      <c r="V76" s="535"/>
      <c r="W76" s="540"/>
    </row>
    <row r="77" spans="1:23" x14ac:dyDescent="0.25">
      <c r="A77" s="535"/>
      <c r="B77" s="535"/>
      <c r="C77" s="541">
        <v>0.74</v>
      </c>
      <c r="D77" s="535"/>
      <c r="E77" s="535"/>
      <c r="F77" s="535"/>
      <c r="G77" s="535"/>
      <c r="H77" s="535"/>
      <c r="I77" s="535"/>
      <c r="J77" s="535"/>
      <c r="K77" s="535"/>
      <c r="L77" s="535"/>
      <c r="M77" s="535"/>
      <c r="N77" s="535"/>
      <c r="O77" s="535"/>
      <c r="P77" s="535"/>
      <c r="Q77" s="535"/>
      <c r="R77" s="535"/>
      <c r="S77" s="535"/>
      <c r="T77" s="535"/>
      <c r="U77" s="535"/>
      <c r="V77" s="535"/>
      <c r="W77" s="540"/>
    </row>
    <row r="78" spans="1:23" x14ac:dyDescent="0.25">
      <c r="A78" s="535"/>
      <c r="B78" s="535"/>
      <c r="C78" s="541">
        <v>0.75</v>
      </c>
      <c r="D78" s="535"/>
      <c r="E78" s="535"/>
      <c r="F78" s="535"/>
      <c r="G78" s="535"/>
      <c r="H78" s="535"/>
      <c r="I78" s="535"/>
      <c r="J78" s="535"/>
      <c r="K78" s="535"/>
      <c r="L78" s="535"/>
      <c r="M78" s="535"/>
      <c r="N78" s="535"/>
      <c r="O78" s="535"/>
      <c r="P78" s="535"/>
      <c r="Q78" s="535"/>
      <c r="R78" s="535"/>
      <c r="S78" s="535"/>
      <c r="T78" s="535"/>
      <c r="U78" s="535"/>
      <c r="V78" s="535"/>
      <c r="W78" s="540"/>
    </row>
    <row r="79" spans="1:23" x14ac:dyDescent="0.25">
      <c r="A79" s="535"/>
      <c r="B79" s="535"/>
      <c r="C79" s="541">
        <v>0.76</v>
      </c>
      <c r="D79" s="535"/>
      <c r="E79" s="535"/>
      <c r="F79" s="535"/>
      <c r="G79" s="535"/>
      <c r="H79" s="535"/>
      <c r="I79" s="535"/>
      <c r="J79" s="535"/>
      <c r="K79" s="535"/>
      <c r="L79" s="535"/>
      <c r="M79" s="535"/>
      <c r="N79" s="535"/>
      <c r="O79" s="535"/>
      <c r="P79" s="535"/>
      <c r="Q79" s="535"/>
      <c r="R79" s="535"/>
      <c r="S79" s="535"/>
      <c r="T79" s="535"/>
      <c r="U79" s="535"/>
      <c r="V79" s="535"/>
      <c r="W79" s="540"/>
    </row>
    <row r="80" spans="1:23" x14ac:dyDescent="0.25">
      <c r="A80" s="535"/>
      <c r="B80" s="535"/>
      <c r="C80" s="541">
        <v>0.77</v>
      </c>
      <c r="D80" s="535"/>
      <c r="E80" s="535"/>
      <c r="F80" s="535"/>
      <c r="G80" s="535"/>
      <c r="H80" s="535"/>
      <c r="I80" s="535"/>
      <c r="J80" s="535"/>
      <c r="K80" s="535"/>
      <c r="L80" s="535"/>
      <c r="M80" s="535"/>
      <c r="N80" s="535"/>
      <c r="O80" s="535"/>
      <c r="P80" s="535"/>
      <c r="Q80" s="535"/>
      <c r="R80" s="535"/>
      <c r="S80" s="535"/>
      <c r="T80" s="535"/>
      <c r="U80" s="535"/>
      <c r="V80" s="535"/>
      <c r="W80" s="540"/>
    </row>
    <row r="81" spans="1:23" x14ac:dyDescent="0.25">
      <c r="A81" s="535"/>
      <c r="B81" s="535"/>
      <c r="C81" s="541">
        <v>0.78</v>
      </c>
      <c r="D81" s="535"/>
      <c r="E81" s="535"/>
      <c r="F81" s="535"/>
      <c r="G81" s="535"/>
      <c r="H81" s="535"/>
      <c r="I81" s="535"/>
      <c r="J81" s="535"/>
      <c r="K81" s="535"/>
      <c r="L81" s="535"/>
      <c r="M81" s="535"/>
      <c r="N81" s="535"/>
      <c r="O81" s="535"/>
      <c r="P81" s="535"/>
      <c r="Q81" s="535"/>
      <c r="R81" s="535"/>
      <c r="S81" s="535"/>
      <c r="T81" s="535"/>
      <c r="U81" s="535"/>
      <c r="V81" s="535"/>
      <c r="W81" s="540"/>
    </row>
    <row r="82" spans="1:23" x14ac:dyDescent="0.25">
      <c r="A82" s="535"/>
      <c r="B82" s="535"/>
      <c r="C82" s="541">
        <v>0.79</v>
      </c>
      <c r="D82" s="535"/>
      <c r="E82" s="535"/>
      <c r="F82" s="535"/>
      <c r="G82" s="535"/>
      <c r="H82" s="535"/>
      <c r="I82" s="535"/>
      <c r="J82" s="535"/>
      <c r="K82" s="535"/>
      <c r="L82" s="535"/>
      <c r="M82" s="535"/>
      <c r="N82" s="535"/>
      <c r="O82" s="535"/>
      <c r="P82" s="535"/>
      <c r="Q82" s="535"/>
      <c r="R82" s="535"/>
      <c r="S82" s="535"/>
      <c r="T82" s="535"/>
      <c r="U82" s="535"/>
      <c r="V82" s="535"/>
      <c r="W82" s="540"/>
    </row>
    <row r="83" spans="1:23" x14ac:dyDescent="0.25">
      <c r="A83" s="535"/>
      <c r="B83" s="535"/>
      <c r="C83" s="541">
        <v>0.8</v>
      </c>
      <c r="D83" s="535"/>
      <c r="E83" s="535"/>
      <c r="F83" s="535"/>
      <c r="G83" s="535"/>
      <c r="H83" s="535"/>
      <c r="I83" s="535"/>
      <c r="J83" s="535"/>
      <c r="K83" s="535"/>
      <c r="L83" s="535"/>
      <c r="M83" s="535"/>
      <c r="N83" s="535"/>
      <c r="O83" s="535"/>
      <c r="P83" s="535"/>
      <c r="Q83" s="535"/>
      <c r="R83" s="535"/>
      <c r="S83" s="535"/>
      <c r="T83" s="535"/>
      <c r="U83" s="535"/>
      <c r="V83" s="535"/>
      <c r="W83" s="540"/>
    </row>
    <row r="84" spans="1:23" x14ac:dyDescent="0.25">
      <c r="A84" s="535"/>
      <c r="B84" s="535"/>
      <c r="C84" s="541">
        <v>0.81</v>
      </c>
      <c r="D84" s="535"/>
      <c r="E84" s="535"/>
      <c r="F84" s="535"/>
      <c r="G84" s="535"/>
      <c r="H84" s="535"/>
      <c r="I84" s="535"/>
      <c r="J84" s="535"/>
      <c r="K84" s="535"/>
      <c r="L84" s="535"/>
      <c r="M84" s="535"/>
      <c r="N84" s="535"/>
      <c r="O84" s="535"/>
      <c r="P84" s="535"/>
      <c r="Q84" s="535"/>
      <c r="R84" s="535"/>
      <c r="S84" s="535"/>
      <c r="T84" s="535"/>
      <c r="U84" s="535"/>
      <c r="V84" s="535"/>
      <c r="W84" s="540"/>
    </row>
    <row r="85" spans="1:23" x14ac:dyDescent="0.25">
      <c r="A85" s="535"/>
      <c r="B85" s="535"/>
      <c r="C85" s="541">
        <v>0.82</v>
      </c>
      <c r="D85" s="535"/>
      <c r="E85" s="535"/>
      <c r="F85" s="535"/>
      <c r="G85" s="535"/>
      <c r="H85" s="535"/>
      <c r="I85" s="535"/>
      <c r="J85" s="535"/>
      <c r="K85" s="535"/>
      <c r="L85" s="535"/>
      <c r="M85" s="535"/>
      <c r="N85" s="535"/>
      <c r="O85" s="535"/>
      <c r="P85" s="535"/>
      <c r="Q85" s="535"/>
      <c r="R85" s="535"/>
      <c r="S85" s="535"/>
      <c r="T85" s="535"/>
      <c r="U85" s="535"/>
      <c r="V85" s="535"/>
      <c r="W85" s="540"/>
    </row>
    <row r="86" spans="1:23" x14ac:dyDescent="0.25">
      <c r="A86" s="535"/>
      <c r="B86" s="535"/>
      <c r="C86" s="541">
        <v>0.83</v>
      </c>
      <c r="D86" s="535"/>
      <c r="E86" s="535"/>
      <c r="F86" s="535"/>
      <c r="G86" s="535"/>
      <c r="H86" s="535"/>
      <c r="I86" s="535"/>
      <c r="J86" s="535"/>
      <c r="K86" s="535"/>
      <c r="L86" s="535"/>
      <c r="M86" s="535"/>
      <c r="N86" s="535"/>
      <c r="O86" s="535"/>
      <c r="P86" s="535"/>
      <c r="Q86" s="535"/>
      <c r="R86" s="535"/>
      <c r="S86" s="535"/>
      <c r="T86" s="535"/>
      <c r="U86" s="535"/>
      <c r="V86" s="535"/>
      <c r="W86" s="540"/>
    </row>
    <row r="87" spans="1:23" x14ac:dyDescent="0.25">
      <c r="A87" s="535"/>
      <c r="B87" s="535"/>
      <c r="C87" s="541">
        <v>0.84</v>
      </c>
      <c r="D87" s="535"/>
      <c r="E87" s="535"/>
      <c r="F87" s="535"/>
      <c r="G87" s="535"/>
      <c r="H87" s="535"/>
      <c r="I87" s="535"/>
      <c r="J87" s="535"/>
      <c r="K87" s="535"/>
      <c r="L87" s="535"/>
      <c r="M87" s="535"/>
      <c r="N87" s="535"/>
      <c r="O87" s="535"/>
      <c r="P87" s="535"/>
      <c r="Q87" s="535"/>
      <c r="R87" s="535"/>
      <c r="S87" s="535"/>
      <c r="T87" s="535"/>
      <c r="U87" s="535"/>
      <c r="V87" s="535"/>
      <c r="W87" s="540"/>
    </row>
    <row r="88" spans="1:23" x14ac:dyDescent="0.25">
      <c r="A88" s="535"/>
      <c r="B88" s="535"/>
      <c r="C88" s="541">
        <v>0.85</v>
      </c>
      <c r="D88" s="535"/>
      <c r="E88" s="535"/>
      <c r="F88" s="535"/>
      <c r="G88" s="535"/>
      <c r="H88" s="535"/>
      <c r="I88" s="535"/>
      <c r="J88" s="535"/>
      <c r="K88" s="535"/>
      <c r="L88" s="535"/>
      <c r="M88" s="535"/>
      <c r="N88" s="535"/>
      <c r="O88" s="535"/>
      <c r="P88" s="535"/>
      <c r="Q88" s="535"/>
      <c r="R88" s="535"/>
      <c r="S88" s="535"/>
      <c r="T88" s="535"/>
      <c r="U88" s="535"/>
      <c r="V88" s="535"/>
      <c r="W88" s="540"/>
    </row>
    <row r="89" spans="1:23" x14ac:dyDescent="0.25">
      <c r="A89" s="535"/>
      <c r="B89" s="535"/>
      <c r="C89" s="541">
        <v>0.86</v>
      </c>
      <c r="D89" s="535"/>
      <c r="E89" s="535"/>
      <c r="F89" s="535"/>
      <c r="G89" s="535"/>
      <c r="H89" s="535"/>
      <c r="I89" s="535"/>
      <c r="J89" s="535"/>
      <c r="K89" s="535"/>
      <c r="L89" s="535"/>
      <c r="M89" s="535"/>
      <c r="N89" s="535"/>
      <c r="O89" s="535"/>
      <c r="P89" s="535"/>
      <c r="Q89" s="535"/>
      <c r="R89" s="535"/>
      <c r="S89" s="535"/>
      <c r="T89" s="535"/>
      <c r="U89" s="535"/>
      <c r="V89" s="535"/>
      <c r="W89" s="540"/>
    </row>
    <row r="90" spans="1:23" x14ac:dyDescent="0.25">
      <c r="A90" s="535"/>
      <c r="B90" s="535"/>
      <c r="C90" s="541">
        <v>0.87</v>
      </c>
      <c r="D90" s="535"/>
      <c r="E90" s="535"/>
      <c r="F90" s="535"/>
      <c r="G90" s="535"/>
      <c r="H90" s="535"/>
      <c r="I90" s="535"/>
      <c r="J90" s="535"/>
      <c r="K90" s="535"/>
      <c r="L90" s="535"/>
      <c r="M90" s="535"/>
      <c r="N90" s="535"/>
      <c r="O90" s="535"/>
      <c r="P90" s="535"/>
      <c r="Q90" s="535"/>
      <c r="R90" s="535"/>
      <c r="S90" s="535"/>
      <c r="T90" s="535"/>
      <c r="U90" s="535"/>
      <c r="V90" s="535"/>
      <c r="W90" s="540"/>
    </row>
    <row r="91" spans="1:23" x14ac:dyDescent="0.25">
      <c r="A91" s="535"/>
      <c r="B91" s="535"/>
      <c r="C91" s="541">
        <v>0.88</v>
      </c>
      <c r="D91" s="535"/>
      <c r="E91" s="535"/>
      <c r="F91" s="535"/>
      <c r="G91" s="535"/>
      <c r="H91" s="535"/>
      <c r="I91" s="535"/>
      <c r="J91" s="535"/>
      <c r="K91" s="535"/>
      <c r="L91" s="535"/>
      <c r="M91" s="535"/>
      <c r="N91" s="535"/>
      <c r="O91" s="535"/>
      <c r="P91" s="535"/>
      <c r="Q91" s="535"/>
      <c r="R91" s="535"/>
      <c r="S91" s="535"/>
      <c r="T91" s="535"/>
      <c r="U91" s="535"/>
      <c r="V91" s="535"/>
      <c r="W91" s="540"/>
    </row>
    <row r="92" spans="1:23" x14ac:dyDescent="0.25">
      <c r="A92" s="535"/>
      <c r="B92" s="535"/>
      <c r="C92" s="541">
        <v>0.89</v>
      </c>
      <c r="D92" s="535"/>
      <c r="E92" s="535"/>
      <c r="F92" s="535"/>
      <c r="G92" s="535"/>
      <c r="H92" s="535"/>
      <c r="I92" s="535"/>
      <c r="J92" s="535"/>
      <c r="K92" s="535"/>
      <c r="L92" s="535"/>
      <c r="M92" s="535"/>
      <c r="N92" s="535"/>
      <c r="O92" s="535"/>
      <c r="P92" s="535"/>
      <c r="Q92" s="535"/>
      <c r="R92" s="535"/>
      <c r="S92" s="535"/>
      <c r="T92" s="535"/>
      <c r="U92" s="535"/>
      <c r="V92" s="535"/>
      <c r="W92" s="540"/>
    </row>
    <row r="93" spans="1:23" x14ac:dyDescent="0.25">
      <c r="A93" s="535"/>
      <c r="B93" s="535"/>
      <c r="C93" s="541">
        <v>0.9</v>
      </c>
      <c r="D93" s="535"/>
      <c r="E93" s="535"/>
      <c r="F93" s="535"/>
      <c r="G93" s="535"/>
      <c r="H93" s="535"/>
      <c r="I93" s="535"/>
      <c r="J93" s="535"/>
      <c r="K93" s="535"/>
      <c r="L93" s="535"/>
      <c r="M93" s="535"/>
      <c r="N93" s="535"/>
      <c r="O93" s="535"/>
      <c r="P93" s="535"/>
      <c r="Q93" s="535"/>
      <c r="R93" s="535"/>
      <c r="S93" s="535"/>
      <c r="T93" s="535"/>
      <c r="U93" s="535"/>
      <c r="V93" s="535"/>
      <c r="W93" s="540"/>
    </row>
    <row r="94" spans="1:23" x14ac:dyDescent="0.25">
      <c r="A94" s="535"/>
      <c r="B94" s="535"/>
      <c r="C94" s="541">
        <v>0.91</v>
      </c>
      <c r="D94" s="535"/>
      <c r="E94" s="535"/>
      <c r="F94" s="535"/>
      <c r="G94" s="535"/>
      <c r="H94" s="535"/>
      <c r="I94" s="535"/>
      <c r="J94" s="535"/>
      <c r="K94" s="535"/>
      <c r="L94" s="535"/>
      <c r="M94" s="535"/>
      <c r="N94" s="535"/>
      <c r="O94" s="535"/>
      <c r="P94" s="535"/>
      <c r="Q94" s="535"/>
      <c r="R94" s="535"/>
      <c r="S94" s="535"/>
      <c r="T94" s="535"/>
      <c r="U94" s="535"/>
      <c r="V94" s="535"/>
      <c r="W94" s="540"/>
    </row>
    <row r="95" spans="1:23" x14ac:dyDescent="0.25">
      <c r="A95" s="535"/>
      <c r="B95" s="535"/>
      <c r="C95" s="541">
        <v>0.92</v>
      </c>
      <c r="D95" s="535"/>
      <c r="E95" s="535"/>
      <c r="F95" s="535"/>
      <c r="G95" s="535"/>
      <c r="H95" s="535"/>
      <c r="I95" s="535"/>
      <c r="J95" s="535"/>
      <c r="K95" s="535"/>
      <c r="L95" s="535"/>
      <c r="M95" s="535"/>
      <c r="N95" s="535"/>
      <c r="O95" s="535"/>
      <c r="P95" s="535"/>
      <c r="Q95" s="535"/>
      <c r="R95" s="535"/>
      <c r="S95" s="535"/>
      <c r="T95" s="535"/>
      <c r="U95" s="535"/>
      <c r="V95" s="535"/>
      <c r="W95" s="540"/>
    </row>
    <row r="96" spans="1:23" x14ac:dyDescent="0.25">
      <c r="A96" s="535"/>
      <c r="B96" s="535"/>
      <c r="C96" s="541">
        <v>0.93</v>
      </c>
      <c r="D96" s="535"/>
      <c r="E96" s="535"/>
      <c r="F96" s="535"/>
      <c r="G96" s="535"/>
      <c r="H96" s="535"/>
      <c r="I96" s="535"/>
      <c r="J96" s="535"/>
      <c r="K96" s="535"/>
      <c r="L96" s="535"/>
      <c r="M96" s="535"/>
      <c r="N96" s="535"/>
      <c r="O96" s="535"/>
      <c r="P96" s="535"/>
      <c r="Q96" s="535"/>
      <c r="R96" s="535"/>
      <c r="S96" s="535"/>
      <c r="T96" s="535"/>
      <c r="U96" s="535"/>
      <c r="V96" s="535"/>
      <c r="W96" s="540"/>
    </row>
    <row r="97" spans="1:23" x14ac:dyDescent="0.25">
      <c r="A97" s="535"/>
      <c r="B97" s="535"/>
      <c r="C97" s="541">
        <v>0.94</v>
      </c>
      <c r="D97" s="535"/>
      <c r="E97" s="535"/>
      <c r="F97" s="535"/>
      <c r="G97" s="535"/>
      <c r="H97" s="535"/>
      <c r="I97" s="535"/>
      <c r="J97" s="535"/>
      <c r="K97" s="535"/>
      <c r="L97" s="535"/>
      <c r="M97" s="535"/>
      <c r="N97" s="535"/>
      <c r="O97" s="535"/>
      <c r="P97" s="535"/>
      <c r="Q97" s="535"/>
      <c r="R97" s="535"/>
      <c r="S97" s="535"/>
      <c r="T97" s="535"/>
      <c r="U97" s="535"/>
      <c r="V97" s="535"/>
      <c r="W97" s="540"/>
    </row>
    <row r="98" spans="1:23" x14ac:dyDescent="0.25">
      <c r="A98" s="535"/>
      <c r="B98" s="535"/>
      <c r="C98" s="541">
        <v>0.95</v>
      </c>
      <c r="D98" s="535"/>
      <c r="E98" s="535"/>
      <c r="F98" s="535"/>
      <c r="G98" s="535"/>
      <c r="H98" s="535"/>
      <c r="I98" s="535"/>
      <c r="J98" s="535"/>
      <c r="K98" s="535"/>
      <c r="L98" s="535"/>
      <c r="M98" s="535"/>
      <c r="N98" s="535"/>
      <c r="O98" s="535"/>
      <c r="P98" s="535"/>
      <c r="Q98" s="535"/>
      <c r="R98" s="535"/>
      <c r="S98" s="535"/>
      <c r="T98" s="535"/>
      <c r="U98" s="535"/>
      <c r="V98" s="535"/>
      <c r="W98" s="540"/>
    </row>
    <row r="99" spans="1:23" x14ac:dyDescent="0.25">
      <c r="A99" s="535"/>
      <c r="B99" s="535"/>
      <c r="C99" s="541">
        <v>0.96</v>
      </c>
      <c r="D99" s="535"/>
      <c r="E99" s="535"/>
      <c r="F99" s="535"/>
      <c r="G99" s="535"/>
      <c r="H99" s="535"/>
      <c r="I99" s="535"/>
      <c r="J99" s="535"/>
      <c r="K99" s="535"/>
      <c r="L99" s="535"/>
      <c r="M99" s="535"/>
      <c r="N99" s="535"/>
      <c r="O99" s="535"/>
      <c r="P99" s="535"/>
      <c r="Q99" s="535"/>
      <c r="R99" s="535"/>
      <c r="S99" s="535"/>
      <c r="T99" s="535"/>
      <c r="U99" s="535"/>
      <c r="V99" s="535"/>
      <c r="W99" s="540"/>
    </row>
    <row r="100" spans="1:23" x14ac:dyDescent="0.25">
      <c r="A100" s="535"/>
      <c r="B100" s="535"/>
      <c r="C100" s="541">
        <v>0.97</v>
      </c>
      <c r="D100" s="535"/>
      <c r="E100" s="535"/>
      <c r="F100" s="535"/>
      <c r="G100" s="535"/>
      <c r="H100" s="535"/>
      <c r="I100" s="535"/>
      <c r="J100" s="535"/>
      <c r="K100" s="535"/>
      <c r="L100" s="535"/>
      <c r="M100" s="535"/>
      <c r="N100" s="535"/>
      <c r="O100" s="535"/>
      <c r="P100" s="535"/>
      <c r="Q100" s="535"/>
      <c r="R100" s="535"/>
      <c r="S100" s="535"/>
      <c r="T100" s="535"/>
      <c r="U100" s="535"/>
      <c r="V100" s="535"/>
      <c r="W100" s="540"/>
    </row>
    <row r="101" spans="1:23" x14ac:dyDescent="0.25">
      <c r="A101" s="535"/>
      <c r="B101" s="535"/>
      <c r="C101" s="541">
        <v>0.98</v>
      </c>
      <c r="D101" s="535"/>
      <c r="E101" s="535"/>
      <c r="F101" s="535"/>
      <c r="G101" s="535"/>
      <c r="H101" s="535"/>
      <c r="I101" s="535"/>
      <c r="J101" s="535"/>
      <c r="K101" s="535"/>
      <c r="L101" s="535"/>
      <c r="M101" s="535"/>
      <c r="N101" s="535"/>
      <c r="O101" s="535"/>
      <c r="P101" s="535"/>
      <c r="Q101" s="535"/>
      <c r="R101" s="535"/>
      <c r="S101" s="535"/>
      <c r="T101" s="535"/>
      <c r="U101" s="535"/>
      <c r="V101" s="535"/>
      <c r="W101" s="540"/>
    </row>
    <row r="102" spans="1:23" x14ac:dyDescent="0.25">
      <c r="A102" s="522"/>
      <c r="B102" s="535"/>
      <c r="C102" s="541">
        <v>0.99</v>
      </c>
      <c r="D102" s="535"/>
      <c r="E102" s="535"/>
      <c r="F102" s="535"/>
      <c r="G102" s="535"/>
      <c r="H102" s="535"/>
      <c r="I102" s="535"/>
      <c r="J102" s="535"/>
      <c r="K102" s="535"/>
      <c r="L102" s="535"/>
      <c r="M102" s="535"/>
      <c r="N102" s="535"/>
      <c r="O102" s="535"/>
      <c r="P102" s="535"/>
      <c r="Q102" s="535"/>
      <c r="R102" s="535"/>
      <c r="S102" s="535"/>
      <c r="T102" s="535"/>
      <c r="U102" s="535"/>
      <c r="V102" s="535"/>
      <c r="W102" s="540"/>
    </row>
    <row r="103" spans="1:23" x14ac:dyDescent="0.25">
      <c r="A103" s="522"/>
      <c r="B103" s="535"/>
      <c r="C103" s="541">
        <v>1</v>
      </c>
      <c r="D103" s="535"/>
      <c r="E103" s="535"/>
      <c r="F103" s="535"/>
      <c r="G103" s="535"/>
      <c r="H103" s="535"/>
      <c r="I103" s="535"/>
      <c r="J103" s="535"/>
      <c r="K103" s="535"/>
      <c r="L103" s="535"/>
      <c r="M103" s="535"/>
      <c r="N103" s="535"/>
      <c r="O103" s="535"/>
      <c r="P103" s="535"/>
      <c r="Q103" s="535"/>
      <c r="R103" s="535"/>
      <c r="S103" s="535"/>
      <c r="T103" s="535"/>
      <c r="U103" s="535"/>
      <c r="V103" s="535"/>
      <c r="W103" s="540"/>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5:B22"/>
  <sheetViews>
    <sheetView workbookViewId="0">
      <selection activeCell="P32" sqref="P32"/>
    </sheetView>
  </sheetViews>
  <sheetFormatPr defaultColWidth="9.140625" defaultRowHeight="15" x14ac:dyDescent="0.25"/>
  <cols>
    <col min="2" max="2" width="9.140625" customWidth="1"/>
  </cols>
  <sheetData>
    <row r="5" spans="2:2" x14ac:dyDescent="0.25">
      <c r="B5" s="49"/>
    </row>
    <row r="6" spans="2:2" x14ac:dyDescent="0.25">
      <c r="B6" s="49"/>
    </row>
    <row r="7" spans="2:2" x14ac:dyDescent="0.25">
      <c r="B7" s="49"/>
    </row>
    <row r="8" spans="2:2" x14ac:dyDescent="0.25">
      <c r="B8" s="49"/>
    </row>
    <row r="9" spans="2:2" x14ac:dyDescent="0.25">
      <c r="B9" s="49"/>
    </row>
    <row r="10" spans="2:2" x14ac:dyDescent="0.25">
      <c r="B10" s="49"/>
    </row>
    <row r="11" spans="2:2" x14ac:dyDescent="0.25">
      <c r="B11" s="49"/>
    </row>
    <row r="12" spans="2:2" x14ac:dyDescent="0.25">
      <c r="B12" s="49"/>
    </row>
    <row r="13" spans="2:2" x14ac:dyDescent="0.25">
      <c r="B13" s="49"/>
    </row>
    <row r="14" spans="2:2" x14ac:dyDescent="0.25">
      <c r="B14" s="49"/>
    </row>
    <row r="15" spans="2:2" x14ac:dyDescent="0.25">
      <c r="B15" s="49"/>
    </row>
    <row r="16" spans="2:2" x14ac:dyDescent="0.25">
      <c r="B16" s="49"/>
    </row>
    <row r="17" spans="2:2" x14ac:dyDescent="0.25">
      <c r="B17" s="49"/>
    </row>
    <row r="18" spans="2:2" x14ac:dyDescent="0.25">
      <c r="B18" s="49"/>
    </row>
    <row r="19" spans="2:2" x14ac:dyDescent="0.25">
      <c r="B19" s="49"/>
    </row>
    <row r="20" spans="2:2" x14ac:dyDescent="0.25">
      <c r="B20" s="49"/>
    </row>
    <row r="21" spans="2:2" x14ac:dyDescent="0.25">
      <c r="B21" s="49"/>
    </row>
    <row r="22" spans="2:2" x14ac:dyDescent="0.25">
      <c r="B22" s="4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R29" sqref="R29"/>
    </sheetView>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T257"/>
  <sheetViews>
    <sheetView zoomScaleNormal="100" zoomScalePageLayoutView="30" workbookViewId="0">
      <pane ySplit="8" topLeftCell="A9" activePane="bottomLeft" state="frozen"/>
      <selection pane="bottomLeft" activeCell="E26" sqref="E26"/>
    </sheetView>
  </sheetViews>
  <sheetFormatPr defaultColWidth="9.140625" defaultRowHeight="15" x14ac:dyDescent="0.25"/>
  <cols>
    <col min="1" max="2" width="2.42578125" style="1" customWidth="1"/>
    <col min="3" max="3" width="41.85546875" style="1" customWidth="1"/>
    <col min="4" max="4" width="9.140625" style="1" customWidth="1"/>
    <col min="5" max="5" width="7.42578125" style="1" customWidth="1"/>
    <col min="6" max="6" width="12" style="1" customWidth="1"/>
    <col min="7" max="7" width="20" style="1" customWidth="1"/>
    <col min="8" max="8" width="8.85546875" style="1" customWidth="1"/>
    <col min="9" max="9" width="5.140625" style="1" customWidth="1"/>
    <col min="10" max="10" width="37.5703125" style="1" customWidth="1"/>
    <col min="11" max="11" width="1.5703125" style="40" customWidth="1"/>
    <col min="12" max="12" width="7.42578125" style="405" customWidth="1"/>
    <col min="13" max="13" width="7.5703125" style="405" customWidth="1"/>
    <col min="14" max="14" width="4.85546875" style="405" customWidth="1"/>
    <col min="15" max="15" width="9.85546875" style="405" customWidth="1"/>
    <col min="16" max="16" width="25.5703125" style="405" customWidth="1"/>
    <col min="17" max="17" width="1.5703125" style="239" customWidth="1"/>
    <col min="18" max="18" width="7" style="405" customWidth="1"/>
    <col min="19" max="19" width="7.5703125" style="405" customWidth="1"/>
    <col min="20" max="20" width="4.85546875" style="405" customWidth="1"/>
    <col min="21" max="21" width="9" style="405" customWidth="1"/>
    <col min="22" max="22" width="28.85546875" style="405" customWidth="1"/>
    <col min="23" max="23" width="1.5703125" style="40" customWidth="1"/>
    <col min="24" max="24" width="6.42578125" style="239" hidden="1" customWidth="1"/>
    <col min="25" max="25" width="15.5703125" style="405" hidden="1" customWidth="1"/>
    <col min="26" max="27" width="9.140625" style="405" hidden="1" customWidth="1"/>
    <col min="28" max="31" width="9.140625" style="1" customWidth="1"/>
    <col min="32" max="32" width="11.85546875" style="1" customWidth="1"/>
    <col min="33" max="33" width="2" style="1" customWidth="1"/>
    <col min="34" max="74" width="9.140625" style="1" customWidth="1"/>
    <col min="75" max="16384" width="9.140625" style="1"/>
  </cols>
  <sheetData>
    <row r="1" spans="1:46" ht="42" customHeight="1" x14ac:dyDescent="0.25">
      <c r="A1" s="174"/>
      <c r="B1" s="174"/>
      <c r="C1" s="414" t="s">
        <v>322</v>
      </c>
      <c r="D1" s="415"/>
      <c r="E1" s="415"/>
      <c r="F1" s="414"/>
      <c r="G1" s="415"/>
      <c r="H1" s="415"/>
      <c r="I1" s="415"/>
      <c r="J1" s="416"/>
      <c r="K1" s="415"/>
      <c r="L1" s="415"/>
      <c r="M1" s="415"/>
      <c r="N1" s="415"/>
      <c r="O1" s="415"/>
      <c r="P1" s="415"/>
      <c r="Q1" s="415"/>
      <c r="R1" s="415"/>
      <c r="S1" s="415"/>
      <c r="T1" s="415"/>
      <c r="U1" s="415"/>
      <c r="V1" s="415"/>
      <c r="W1" s="415"/>
      <c r="X1" s="191"/>
      <c r="Y1" s="1"/>
      <c r="Z1" s="1"/>
      <c r="AA1" s="1"/>
    </row>
    <row r="2" spans="1:46" s="97" customFormat="1" ht="6" customHeight="1" x14ac:dyDescent="0.25">
      <c r="C2" s="183">
        <v>1</v>
      </c>
      <c r="D2" s="184">
        <v>2</v>
      </c>
      <c r="E2" s="183">
        <v>3</v>
      </c>
      <c r="F2" s="184">
        <v>4</v>
      </c>
      <c r="G2" s="183">
        <v>5</v>
      </c>
      <c r="H2" s="184">
        <v>6</v>
      </c>
      <c r="I2" s="183">
        <v>7</v>
      </c>
      <c r="J2" s="184">
        <v>8</v>
      </c>
      <c r="K2" s="183">
        <v>9</v>
      </c>
      <c r="L2" s="184">
        <v>10</v>
      </c>
      <c r="M2" s="183">
        <v>11</v>
      </c>
      <c r="N2" s="184">
        <v>12</v>
      </c>
      <c r="O2" s="183">
        <v>13</v>
      </c>
      <c r="P2" s="184">
        <v>14</v>
      </c>
      <c r="Q2" s="183">
        <v>15</v>
      </c>
      <c r="R2" s="184">
        <v>16</v>
      </c>
      <c r="S2" s="183">
        <v>17</v>
      </c>
      <c r="T2" s="184">
        <v>18</v>
      </c>
      <c r="U2" s="183">
        <v>19</v>
      </c>
      <c r="V2" s="184">
        <v>20</v>
      </c>
      <c r="W2" s="184">
        <v>20</v>
      </c>
      <c r="X2" s="433"/>
      <c r="Y2" s="434">
        <v>22</v>
      </c>
      <c r="Z2" s="175"/>
      <c r="AA2" s="175"/>
      <c r="AB2" s="175"/>
    </row>
    <row r="3" spans="1:46" ht="20.25" customHeight="1" x14ac:dyDescent="0.4">
      <c r="A3" s="3"/>
      <c r="B3" s="3"/>
      <c r="C3" s="457" t="s">
        <v>334</v>
      </c>
      <c r="D3" s="185"/>
      <c r="E3" s="1343" t="s">
        <v>234</v>
      </c>
      <c r="F3" s="1344"/>
      <c r="G3" s="1344"/>
      <c r="H3" s="1344"/>
      <c r="I3" s="1344"/>
      <c r="J3" s="459" t="s">
        <v>334</v>
      </c>
      <c r="K3" s="425"/>
      <c r="L3" s="1343" t="s">
        <v>239</v>
      </c>
      <c r="M3" s="1344"/>
      <c r="N3" s="1344"/>
      <c r="O3" s="1344"/>
      <c r="P3" s="1345"/>
      <c r="Q3" s="426"/>
      <c r="R3" s="1343" t="s">
        <v>240</v>
      </c>
      <c r="S3" s="1344"/>
      <c r="T3" s="1344"/>
      <c r="U3" s="1344"/>
      <c r="V3" s="1345"/>
      <c r="W3" s="426"/>
      <c r="X3" s="191"/>
      <c r="Y3" s="9"/>
      <c r="Z3" s="9"/>
      <c r="AA3" s="9"/>
    </row>
    <row r="4" spans="1:46" s="2" customFormat="1" x14ac:dyDescent="0.25">
      <c r="A4" s="3"/>
      <c r="B4" s="3"/>
      <c r="J4" s="418" t="s">
        <v>326</v>
      </c>
      <c r="K4" s="187"/>
      <c r="L4" s="188" t="str">
        <f>IF(P7=Poeng!C124,Poeng!D124,Poeng!E124)</f>
        <v>To activate select YES in cell P7</v>
      </c>
      <c r="M4" s="189"/>
      <c r="N4" s="189"/>
      <c r="O4" s="186"/>
      <c r="P4" s="190" t="str">
        <f>Poeng!AV112</f>
        <v>Unclassified</v>
      </c>
      <c r="Q4" s="191"/>
      <c r="R4" s="188" t="str">
        <f>IF(V7=Poeng!C124,Poeng!D125,Poeng!E125)</f>
        <v>To activate select YES in cell V7</v>
      </c>
      <c r="S4" s="189"/>
      <c r="T4" s="189"/>
      <c r="U4" s="186"/>
      <c r="V4" s="190" t="str">
        <f>Poeng!AY112</f>
        <v>Unclassified</v>
      </c>
      <c r="W4" s="181"/>
      <c r="X4" s="191"/>
      <c r="Y4" s="57"/>
      <c r="Z4" s="57"/>
      <c r="AA4" s="57"/>
      <c r="AB4" s="57"/>
      <c r="AL4" s="36"/>
    </row>
    <row r="5" spans="1:46" s="2" customFormat="1" x14ac:dyDescent="0.25">
      <c r="A5" s="3"/>
      <c r="B5" s="3"/>
      <c r="J5" s="418" t="s">
        <v>327</v>
      </c>
      <c r="K5" s="187"/>
      <c r="L5" s="193" t="s">
        <v>90</v>
      </c>
      <c r="M5" s="194"/>
      <c r="N5" s="194"/>
      <c r="O5" s="192"/>
      <c r="P5" s="427">
        <f>Score_design</f>
        <v>0</v>
      </c>
      <c r="Q5" s="191"/>
      <c r="R5" s="193" t="s">
        <v>90</v>
      </c>
      <c r="S5" s="194"/>
      <c r="T5" s="194"/>
      <c r="U5" s="192"/>
      <c r="V5" s="427">
        <f>Score_const</f>
        <v>0</v>
      </c>
      <c r="W5" s="181"/>
      <c r="X5" s="191"/>
      <c r="Y5" s="435"/>
      <c r="Z5" s="435"/>
      <c r="AA5" s="435"/>
      <c r="AB5" s="435"/>
    </row>
    <row r="6" spans="1:46" s="2" customFormat="1" x14ac:dyDescent="0.25">
      <c r="A6" s="3"/>
      <c r="B6" s="3"/>
      <c r="J6" s="418" t="s">
        <v>328</v>
      </c>
      <c r="K6" s="187"/>
      <c r="L6" s="193" t="s">
        <v>84</v>
      </c>
      <c r="M6" s="194"/>
      <c r="N6" s="194"/>
      <c r="O6" s="192"/>
      <c r="P6" s="195" t="str">
        <f>BP_MinStandards_design</f>
        <v>Unclassified</v>
      </c>
      <c r="Q6" s="191"/>
      <c r="R6" s="193" t="s">
        <v>84</v>
      </c>
      <c r="S6" s="194"/>
      <c r="T6" s="194"/>
      <c r="U6" s="192"/>
      <c r="V6" s="195" t="str">
        <f>BP_MinStandards_const</f>
        <v>Unclassified</v>
      </c>
      <c r="W6" s="181"/>
      <c r="X6" s="191"/>
      <c r="Y6" s="435"/>
      <c r="Z6" s="435"/>
      <c r="AA6" s="435"/>
      <c r="AB6" s="435"/>
    </row>
    <row r="7" spans="1:46" s="2" customFormat="1" x14ac:dyDescent="0.25">
      <c r="J7" s="453"/>
      <c r="K7" s="187"/>
      <c r="L7" s="193" t="s">
        <v>330</v>
      </c>
      <c r="M7" s="194"/>
      <c r="N7" s="194"/>
      <c r="O7" s="192"/>
      <c r="P7" s="444" t="s">
        <v>15</v>
      </c>
      <c r="Q7" s="191"/>
      <c r="R7" s="193" t="s">
        <v>330</v>
      </c>
      <c r="S7" s="194"/>
      <c r="T7" s="194"/>
      <c r="U7" s="192"/>
      <c r="V7" s="444" t="s">
        <v>15</v>
      </c>
      <c r="W7" s="181"/>
      <c r="X7" s="191"/>
      <c r="Y7" s="1341" t="s">
        <v>275</v>
      </c>
      <c r="Z7" s="1342"/>
      <c r="AA7" s="1342"/>
      <c r="AB7" s="435"/>
    </row>
    <row r="8" spans="1:46" ht="30.75" x14ac:dyDescent="0.3">
      <c r="A8" s="443" t="s">
        <v>236</v>
      </c>
      <c r="B8" s="443" t="s">
        <v>237</v>
      </c>
      <c r="C8" s="196" t="s">
        <v>233</v>
      </c>
      <c r="D8" s="419" t="s">
        <v>106</v>
      </c>
      <c r="E8" s="197" t="s">
        <v>47</v>
      </c>
      <c r="F8" s="198" t="s">
        <v>107</v>
      </c>
      <c r="G8" s="199" t="s">
        <v>54</v>
      </c>
      <c r="H8" s="417" t="s">
        <v>329</v>
      </c>
      <c r="I8" s="454" t="s">
        <v>280</v>
      </c>
      <c r="J8" s="455" t="s">
        <v>241</v>
      </c>
      <c r="K8" s="200"/>
      <c r="L8" s="201" t="s">
        <v>47</v>
      </c>
      <c r="M8" s="202" t="s">
        <v>329</v>
      </c>
      <c r="N8" s="202" t="s">
        <v>280</v>
      </c>
      <c r="O8" s="203" t="s">
        <v>279</v>
      </c>
      <c r="P8" s="204" t="s">
        <v>281</v>
      </c>
      <c r="Q8" s="205"/>
      <c r="R8" s="201" t="s">
        <v>47</v>
      </c>
      <c r="S8" s="202" t="s">
        <v>329</v>
      </c>
      <c r="T8" s="202" t="s">
        <v>280</v>
      </c>
      <c r="U8" s="203" t="s">
        <v>279</v>
      </c>
      <c r="V8" s="204" t="s">
        <v>281</v>
      </c>
      <c r="W8" s="191"/>
      <c r="X8" s="191"/>
      <c r="Y8" s="108" t="s">
        <v>276</v>
      </c>
      <c r="Z8" s="107" t="s">
        <v>277</v>
      </c>
      <c r="AA8" s="107" t="s">
        <v>278</v>
      </c>
      <c r="AP8" s="24"/>
      <c r="AT8"/>
    </row>
    <row r="9" spans="1:46" ht="18.75" customHeight="1" x14ac:dyDescent="0.3">
      <c r="A9" s="62">
        <v>1</v>
      </c>
      <c r="B9" s="73" t="s">
        <v>66</v>
      </c>
      <c r="C9" s="206" t="s">
        <v>13</v>
      </c>
      <c r="D9" s="207"/>
      <c r="E9" s="232"/>
      <c r="F9" s="207"/>
      <c r="G9" s="207"/>
      <c r="H9" s="113"/>
      <c r="I9" s="105"/>
      <c r="J9" s="447"/>
      <c r="K9" s="235"/>
      <c r="L9" s="236"/>
      <c r="M9" s="113"/>
      <c r="N9" s="113"/>
      <c r="O9" s="237"/>
      <c r="P9" s="238"/>
      <c r="R9" s="236"/>
      <c r="S9" s="113"/>
      <c r="T9" s="113"/>
      <c r="U9" s="237"/>
      <c r="V9" s="238"/>
      <c r="W9" s="191"/>
      <c r="X9" s="191">
        <f t="shared" ref="X9:X40" si="0">IF(D9="",1,IF(D9=0,2,1))</f>
        <v>1</v>
      </c>
      <c r="Y9" s="436">
        <v>0</v>
      </c>
      <c r="Z9" s="436">
        <v>0</v>
      </c>
      <c r="AA9" s="436">
        <v>0</v>
      </c>
      <c r="AR9" s="23"/>
    </row>
    <row r="10" spans="1:46" x14ac:dyDescent="0.25">
      <c r="A10" s="62">
        <v>2</v>
      </c>
      <c r="B10" s="420" t="s">
        <v>66</v>
      </c>
      <c r="C10" s="208" t="str">
        <f>Man_01</f>
        <v>Man 01 Project brief and design</v>
      </c>
      <c r="D10" s="209">
        <f>Man01_credits</f>
        <v>4</v>
      </c>
      <c r="E10" s="72"/>
      <c r="F10" s="210">
        <f>Man01_39</f>
        <v>0</v>
      </c>
      <c r="G10" s="211" t="str">
        <f>Man01_37</f>
        <v>N/A</v>
      </c>
      <c r="H10" s="117"/>
      <c r="I10" s="445" t="s">
        <v>0</v>
      </c>
      <c r="J10" s="448"/>
      <c r="K10" s="240"/>
      <c r="L10" s="76"/>
      <c r="M10" s="118"/>
      <c r="N10" s="117"/>
      <c r="O10" s="119"/>
      <c r="P10" s="120"/>
      <c r="Q10" s="241"/>
      <c r="R10" s="122"/>
      <c r="S10" s="118"/>
      <c r="T10" s="117" t="s">
        <v>0</v>
      </c>
      <c r="U10" s="119"/>
      <c r="V10" s="120"/>
      <c r="W10" s="421"/>
      <c r="X10" s="191">
        <f t="shared" si="0"/>
        <v>1</v>
      </c>
      <c r="Y10" s="3">
        <f>VLOOKUP(I10,'Assessment Details'!$L$45:$M$48,2,FALSE)</f>
        <v>4</v>
      </c>
      <c r="Z10" s="3" t="e">
        <f>VLOOKUP(N10,'Assessment Details'!$L$45:$M$48,2,FALSE)</f>
        <v>#N/A</v>
      </c>
      <c r="AA10" s="3">
        <f>VLOOKUP(T10,'Assessment Details'!$L$45:$M$48,2,FALSE)</f>
        <v>4</v>
      </c>
    </row>
    <row r="11" spans="1:46" x14ac:dyDescent="0.25">
      <c r="A11" s="62">
        <v>3</v>
      </c>
      <c r="B11" s="420" t="s">
        <v>66</v>
      </c>
      <c r="C11" s="208" t="str">
        <f>Man_02</f>
        <v>Man 02 Life cycle cost and service life planning</v>
      </c>
      <c r="D11" s="209">
        <f>Man02_credits</f>
        <v>4</v>
      </c>
      <c r="E11" s="72"/>
      <c r="F11" s="210">
        <f>Man02_12</f>
        <v>0</v>
      </c>
      <c r="G11" s="212" t="str">
        <f>Man02_minstd</f>
        <v>N/A</v>
      </c>
      <c r="H11" s="117"/>
      <c r="I11" s="445"/>
      <c r="J11" s="448"/>
      <c r="K11" s="242"/>
      <c r="L11" s="76"/>
      <c r="M11" s="118"/>
      <c r="N11" s="117"/>
      <c r="O11" s="119"/>
      <c r="P11" s="120"/>
      <c r="Q11" s="241"/>
      <c r="R11" s="122"/>
      <c r="S11" s="118"/>
      <c r="T11" s="117"/>
      <c r="U11" s="119"/>
      <c r="V11" s="120"/>
      <c r="W11" s="421"/>
      <c r="X11" s="191">
        <f t="shared" si="0"/>
        <v>1</v>
      </c>
      <c r="Y11" s="3" t="e">
        <f>VLOOKUP(I11,'Assessment Details'!$L$45:$M$48,2,FALSE)</f>
        <v>#N/A</v>
      </c>
      <c r="Z11" s="3" t="e">
        <f>VLOOKUP(N11,'Assessment Details'!$L$45:$M$48,2,FALSE)</f>
        <v>#N/A</v>
      </c>
      <c r="AA11" s="3" t="e">
        <f>VLOOKUP(T11,'Assessment Details'!$L$45:$M$48,2,FALSE)</f>
        <v>#N/A</v>
      </c>
      <c r="AG11" s="29"/>
    </row>
    <row r="12" spans="1:46" x14ac:dyDescent="0.25">
      <c r="A12" s="62">
        <v>4</v>
      </c>
      <c r="B12" s="420" t="s">
        <v>66</v>
      </c>
      <c r="C12" s="208" t="str">
        <f>Man_03</f>
        <v>Man 03 Responsible construction practices</v>
      </c>
      <c r="D12" s="209">
        <f>Man03_credits</f>
        <v>6</v>
      </c>
      <c r="E12" s="72"/>
      <c r="F12" s="210">
        <f>Man03_18</f>
        <v>0</v>
      </c>
      <c r="G12" s="213" t="str">
        <f>Man03_minstd</f>
        <v>Very Good</v>
      </c>
      <c r="H12" s="117"/>
      <c r="I12" s="445"/>
      <c r="J12" s="448"/>
      <c r="K12" s="240"/>
      <c r="L12" s="76"/>
      <c r="M12" s="118"/>
      <c r="N12" s="117"/>
      <c r="O12" s="119"/>
      <c r="P12" s="120"/>
      <c r="Q12" s="241"/>
      <c r="R12" s="122"/>
      <c r="S12" s="118"/>
      <c r="T12" s="117" t="s">
        <v>0</v>
      </c>
      <c r="U12" s="119"/>
      <c r="V12" s="120"/>
      <c r="W12" s="421"/>
      <c r="X12" s="191">
        <f t="shared" si="0"/>
        <v>1</v>
      </c>
      <c r="Y12" s="1" t="e">
        <f>VLOOKUP(I12,'Assessment Details'!$L$45:$M$48,2,FALSE)</f>
        <v>#N/A</v>
      </c>
      <c r="Z12" s="1" t="e">
        <f>VLOOKUP(N12,'Assessment Details'!$L$45:$M$48,2,FALSE)</f>
        <v>#N/A</v>
      </c>
      <c r="AA12" s="1">
        <f>VLOOKUP(T12,'Assessment Details'!$L$45:$M$48,2,FALSE)</f>
        <v>4</v>
      </c>
      <c r="AG12" s="29"/>
    </row>
    <row r="13" spans="1:46" x14ac:dyDescent="0.25">
      <c r="A13" s="62">
        <v>5</v>
      </c>
      <c r="B13" s="420" t="s">
        <v>66</v>
      </c>
      <c r="C13" s="208" t="str">
        <f>Man_04</f>
        <v>Man 04 Comissioning and handover</v>
      </c>
      <c r="D13" s="209">
        <f>Man04_credits</f>
        <v>3</v>
      </c>
      <c r="E13" s="72"/>
      <c r="F13" s="210">
        <f>Man04_cont</f>
        <v>0</v>
      </c>
      <c r="G13" s="212" t="str">
        <f>Man04_minstd</f>
        <v>Unclassified</v>
      </c>
      <c r="H13" s="117"/>
      <c r="I13" s="445"/>
      <c r="J13" s="448"/>
      <c r="K13" s="242"/>
      <c r="L13" s="76"/>
      <c r="M13" s="118"/>
      <c r="N13" s="117"/>
      <c r="O13" s="119"/>
      <c r="P13" s="120"/>
      <c r="Q13" s="241"/>
      <c r="R13" s="122"/>
      <c r="S13" s="118"/>
      <c r="T13" s="117"/>
      <c r="U13" s="119"/>
      <c r="V13" s="120"/>
      <c r="W13" s="421"/>
      <c r="X13" s="191">
        <f t="shared" si="0"/>
        <v>1</v>
      </c>
      <c r="Y13" s="3" t="e">
        <f>VLOOKUP(I13,'Assessment Details'!$L$45:$M$48,2,FALSE)</f>
        <v>#N/A</v>
      </c>
      <c r="Z13" s="3" t="e">
        <f>VLOOKUP(N13,'Assessment Details'!$L$45:$M$48,2,FALSE)</f>
        <v>#N/A</v>
      </c>
      <c r="AA13" s="3" t="e">
        <f>VLOOKUP(T13,'Assessment Details'!$L$45:$M$48,2,FALSE)</f>
        <v>#N/A</v>
      </c>
      <c r="AG13" s="29"/>
      <c r="AJ13" s="23"/>
    </row>
    <row r="14" spans="1:46" ht="15" customHeight="1" x14ac:dyDescent="0.25">
      <c r="A14" s="62">
        <v>6</v>
      </c>
      <c r="B14" s="420" t="s">
        <v>66</v>
      </c>
      <c r="C14" s="208" t="str">
        <f>Man_05</f>
        <v>Man 05 Aftercare</v>
      </c>
      <c r="D14" s="209">
        <f>Man05_credits</f>
        <v>3</v>
      </c>
      <c r="E14" s="72"/>
      <c r="F14" s="210">
        <f>Man05_cont</f>
        <v>0</v>
      </c>
      <c r="G14" s="212" t="str">
        <f>Man05_minstd</f>
        <v>Very Good</v>
      </c>
      <c r="H14" s="117"/>
      <c r="I14" s="445"/>
      <c r="J14" s="448"/>
      <c r="K14" s="242"/>
      <c r="L14" s="76"/>
      <c r="M14" s="118"/>
      <c r="N14" s="117"/>
      <c r="O14" s="119"/>
      <c r="P14" s="120"/>
      <c r="Q14" s="241"/>
      <c r="R14" s="122"/>
      <c r="S14" s="118"/>
      <c r="T14" s="117" t="s">
        <v>0</v>
      </c>
      <c r="U14" s="119"/>
      <c r="V14" s="120"/>
      <c r="W14" s="421"/>
      <c r="X14" s="191">
        <f t="shared" si="0"/>
        <v>1</v>
      </c>
      <c r="Y14" s="1" t="e">
        <f>VLOOKUP(I14,'Assessment Details'!$L$45:$M$48,2,FALSE)</f>
        <v>#N/A</v>
      </c>
      <c r="Z14" s="1" t="e">
        <f>VLOOKUP(N14,'Assessment Details'!$L$45:$M$48,2,FALSE)</f>
        <v>#N/A</v>
      </c>
      <c r="AA14" s="1">
        <f>VLOOKUP(T14,'Assessment Details'!$L$45:$M$48,2,FALSE)</f>
        <v>4</v>
      </c>
      <c r="AB14" s="45"/>
      <c r="AG14" s="29"/>
    </row>
    <row r="15" spans="1:46" ht="15.75" thickBot="1" x14ac:dyDescent="0.3">
      <c r="A15" s="62">
        <v>9</v>
      </c>
      <c r="B15" s="420" t="s">
        <v>66</v>
      </c>
      <c r="C15" s="214" t="s">
        <v>108</v>
      </c>
      <c r="D15" s="215">
        <f>Man_Credits</f>
        <v>20</v>
      </c>
      <c r="E15" s="233"/>
      <c r="F15" s="216">
        <f>Man_cont_tot</f>
        <v>0</v>
      </c>
      <c r="G15" s="217" t="str">
        <f>"Credits achieved: "&amp;Man_tot_user</f>
        <v>Credits achieved: 0</v>
      </c>
      <c r="H15" s="243"/>
      <c r="I15" s="446"/>
      <c r="J15" s="449"/>
      <c r="K15" s="242"/>
      <c r="L15" s="244"/>
      <c r="M15" s="245"/>
      <c r="N15" s="246"/>
      <c r="O15" s="246"/>
      <c r="P15" s="247"/>
      <c r="Q15" s="241"/>
      <c r="R15" s="248"/>
      <c r="S15" s="245"/>
      <c r="T15" s="246"/>
      <c r="U15" s="246"/>
      <c r="V15" s="247"/>
      <c r="W15" s="421"/>
      <c r="X15" s="191">
        <f t="shared" si="0"/>
        <v>1</v>
      </c>
      <c r="Y15" s="438">
        <v>0</v>
      </c>
      <c r="Z15" s="438">
        <v>0</v>
      </c>
      <c r="AA15" s="438">
        <v>0</v>
      </c>
      <c r="AB15" s="45"/>
      <c r="AG15" s="29"/>
    </row>
    <row r="16" spans="1:46" x14ac:dyDescent="0.25">
      <c r="A16" s="62">
        <v>10</v>
      </c>
      <c r="B16" s="420" t="s">
        <v>66</v>
      </c>
      <c r="C16" s="218"/>
      <c r="D16" s="219"/>
      <c r="E16" s="234"/>
      <c r="F16" s="219"/>
      <c r="G16" s="219"/>
      <c r="H16" s="249"/>
      <c r="I16" s="234"/>
      <c r="J16" s="249"/>
      <c r="K16" s="240"/>
      <c r="L16" s="234"/>
      <c r="M16" s="249"/>
      <c r="N16" s="250"/>
      <c r="O16" s="250"/>
      <c r="P16" s="250"/>
      <c r="Q16" s="251"/>
      <c r="R16" s="250"/>
      <c r="S16" s="249"/>
      <c r="T16" s="250"/>
      <c r="U16" s="250"/>
      <c r="V16" s="250"/>
      <c r="W16" s="439"/>
      <c r="X16" s="191">
        <f t="shared" si="0"/>
        <v>1</v>
      </c>
      <c r="Y16" s="440">
        <v>0</v>
      </c>
      <c r="Z16" s="440">
        <v>0</v>
      </c>
      <c r="AA16" s="440">
        <v>0</v>
      </c>
      <c r="AG16" s="29"/>
      <c r="AJ16" s="22"/>
      <c r="AL16" s="22"/>
    </row>
    <row r="17" spans="1:38" ht="18.75" customHeight="1" x14ac:dyDescent="0.3">
      <c r="A17" s="62">
        <v>11</v>
      </c>
      <c r="B17" s="420" t="s">
        <v>69</v>
      </c>
      <c r="C17" s="220" t="s">
        <v>50</v>
      </c>
      <c r="D17" s="207"/>
      <c r="E17" s="232"/>
      <c r="F17" s="207"/>
      <c r="G17" s="207"/>
      <c r="H17" s="252"/>
      <c r="I17" s="253"/>
      <c r="J17" s="450"/>
      <c r="K17" s="242"/>
      <c r="L17" s="236"/>
      <c r="M17" s="254"/>
      <c r="N17" s="255"/>
      <c r="O17" s="255"/>
      <c r="P17" s="256"/>
      <c r="Q17" s="241"/>
      <c r="R17" s="257"/>
      <c r="S17" s="254"/>
      <c r="T17" s="255"/>
      <c r="U17" s="255"/>
      <c r="V17" s="256"/>
      <c r="W17" s="421"/>
      <c r="X17" s="191">
        <f t="shared" si="0"/>
        <v>1</v>
      </c>
      <c r="Y17" s="436">
        <v>0</v>
      </c>
      <c r="Z17" s="436">
        <v>0</v>
      </c>
      <c r="AA17" s="436">
        <v>0</v>
      </c>
      <c r="AG17" s="29"/>
      <c r="AJ17" s="40"/>
      <c r="AL17" s="22"/>
    </row>
    <row r="18" spans="1:38" x14ac:dyDescent="0.25">
      <c r="A18" s="62">
        <v>12</v>
      </c>
      <c r="B18" s="420" t="s">
        <v>69</v>
      </c>
      <c r="C18" s="208" t="str">
        <f>Hea_01</f>
        <v>Hea 01 Visual comfort</v>
      </c>
      <c r="D18" s="209">
        <f>Hea01_credits</f>
        <v>4</v>
      </c>
      <c r="E18" s="72"/>
      <c r="F18" s="210">
        <f>Hea01_27</f>
        <v>0</v>
      </c>
      <c r="G18" s="221" t="str">
        <f>Hea01_minstd</f>
        <v>Unclassified</v>
      </c>
      <c r="H18" s="117"/>
      <c r="I18" s="445"/>
      <c r="J18" s="448"/>
      <c r="K18" s="242"/>
      <c r="L18" s="76"/>
      <c r="M18" s="118"/>
      <c r="N18" s="117"/>
      <c r="O18" s="123"/>
      <c r="P18" s="120"/>
      <c r="Q18" s="241"/>
      <c r="R18" s="122"/>
      <c r="S18" s="118"/>
      <c r="T18" s="117"/>
      <c r="U18" s="123"/>
      <c r="V18" s="120"/>
      <c r="W18" s="421"/>
      <c r="X18" s="191">
        <f t="shared" si="0"/>
        <v>1</v>
      </c>
      <c r="Y18" s="3" t="e">
        <f>VLOOKUP(I18,'Assessment Details'!$L$45:$M$48,2,FALSE)</f>
        <v>#N/A</v>
      </c>
      <c r="Z18" s="3" t="e">
        <f>VLOOKUP(N18,'Assessment Details'!$L$45:$M$48,2,FALSE)</f>
        <v>#N/A</v>
      </c>
      <c r="AA18" s="3" t="e">
        <f>VLOOKUP(T18,'Assessment Details'!$L$45:$M$48,2,FALSE)</f>
        <v>#N/A</v>
      </c>
      <c r="AJ18" s="40"/>
      <c r="AL18" s="22"/>
    </row>
    <row r="19" spans="1:38" x14ac:dyDescent="0.25">
      <c r="A19" s="62">
        <v>13</v>
      </c>
      <c r="B19" s="420" t="s">
        <v>69</v>
      </c>
      <c r="C19" s="208" t="str">
        <f>Hea01_Crit1</f>
        <v>Hea 01 Visual comfort - Criteria 1</v>
      </c>
      <c r="D19" s="209" t="str">
        <f>Hea01_Crit1_credits</f>
        <v>Yes/No</v>
      </c>
      <c r="E19" s="72"/>
      <c r="F19" s="210" t="str">
        <f>Hea01_Crit1_cont</f>
        <v>-</v>
      </c>
      <c r="G19" s="221" t="str">
        <f>Hea01_minstd</f>
        <v>Unclassified</v>
      </c>
      <c r="H19" s="117"/>
      <c r="I19" s="445"/>
      <c r="J19" s="448"/>
      <c r="K19" s="240"/>
      <c r="L19" s="76"/>
      <c r="M19" s="118"/>
      <c r="N19" s="117"/>
      <c r="O19" s="123"/>
      <c r="P19" s="120"/>
      <c r="Q19" s="241"/>
      <c r="R19" s="122"/>
      <c r="S19" s="118"/>
      <c r="T19" s="117" t="s">
        <v>0</v>
      </c>
      <c r="U19" s="123"/>
      <c r="V19" s="120"/>
      <c r="W19" s="421"/>
      <c r="X19" s="191">
        <f t="shared" si="0"/>
        <v>1</v>
      </c>
      <c r="Y19" s="3" t="e">
        <f>VLOOKUP(I19,'Assessment Details'!$L$45:$M$48,2,FALSE)</f>
        <v>#N/A</v>
      </c>
      <c r="Z19" s="3" t="e">
        <f>VLOOKUP(N19,'Assessment Details'!$L$45:$M$48,2,FALSE)</f>
        <v>#N/A</v>
      </c>
      <c r="AA19" s="3">
        <f>VLOOKUP(T19,'Assessment Details'!$L$45:$M$48,2,FALSE)</f>
        <v>4</v>
      </c>
      <c r="AJ19" s="40"/>
      <c r="AL19" s="22"/>
    </row>
    <row r="20" spans="1:38" x14ac:dyDescent="0.25">
      <c r="A20" s="62">
        <v>14</v>
      </c>
      <c r="B20" s="420" t="s">
        <v>69</v>
      </c>
      <c r="C20" s="208" t="str">
        <f>Hea_02</f>
        <v>Hea 02 Indoor air quality</v>
      </c>
      <c r="D20" s="209">
        <f>Hea02_credits</f>
        <v>5</v>
      </c>
      <c r="E20" s="72"/>
      <c r="F20" s="210">
        <f>Hea02_26</f>
        <v>0</v>
      </c>
      <c r="G20" s="222" t="str">
        <f>Hea02_minstd</f>
        <v>Good</v>
      </c>
      <c r="H20" s="117"/>
      <c r="I20" s="445"/>
      <c r="J20" s="448"/>
      <c r="K20" s="242"/>
      <c r="L20" s="76"/>
      <c r="M20" s="118"/>
      <c r="N20" s="117"/>
      <c r="O20" s="123"/>
      <c r="P20" s="120"/>
      <c r="Q20" s="241"/>
      <c r="R20" s="122"/>
      <c r="S20" s="118"/>
      <c r="T20" s="117"/>
      <c r="U20" s="123"/>
      <c r="V20" s="120"/>
      <c r="W20" s="421"/>
      <c r="X20" s="191">
        <f t="shared" si="0"/>
        <v>1</v>
      </c>
      <c r="Y20" s="3" t="e">
        <f>VLOOKUP(I20,'Assessment Details'!$L$45:$M$48,2,FALSE)</f>
        <v>#N/A</v>
      </c>
      <c r="Z20" s="3" t="e">
        <f>VLOOKUP(N20,'Assessment Details'!$L$45:$M$48,2,FALSE)</f>
        <v>#N/A</v>
      </c>
      <c r="AA20" s="3" t="e">
        <f>VLOOKUP(T20,'Assessment Details'!$L$45:$M$48,2,FALSE)</f>
        <v>#N/A</v>
      </c>
      <c r="AJ20" s="40"/>
      <c r="AK20" s="40"/>
      <c r="AL20" s="22"/>
    </row>
    <row r="21" spans="1:38" x14ac:dyDescent="0.25">
      <c r="A21" s="62">
        <v>15</v>
      </c>
      <c r="B21" s="420" t="s">
        <v>69</v>
      </c>
      <c r="C21" s="208" t="str">
        <f>Hea_03</f>
        <v>Hea 03 Thermal comfort</v>
      </c>
      <c r="D21" s="209">
        <f>Hea03_credits</f>
        <v>2</v>
      </c>
      <c r="E21" s="72"/>
      <c r="F21" s="210">
        <f>Hea03_contr</f>
        <v>0</v>
      </c>
      <c r="G21" s="223" t="str">
        <f>Hea03_11</f>
        <v>N/A</v>
      </c>
      <c r="H21" s="117"/>
      <c r="I21" s="445"/>
      <c r="J21" s="448"/>
      <c r="K21" s="240"/>
      <c r="L21" s="76"/>
      <c r="M21" s="118"/>
      <c r="N21" s="117"/>
      <c r="O21" s="123"/>
      <c r="P21" s="120"/>
      <c r="Q21" s="241"/>
      <c r="R21" s="122"/>
      <c r="S21" s="118"/>
      <c r="T21" s="117"/>
      <c r="U21" s="123"/>
      <c r="V21" s="120"/>
      <c r="W21" s="421"/>
      <c r="X21" s="191">
        <f t="shared" si="0"/>
        <v>1</v>
      </c>
      <c r="Y21" s="3" t="e">
        <f>VLOOKUP(I21,'Assessment Details'!$L$45:$M$48,2,FALSE)</f>
        <v>#N/A</v>
      </c>
      <c r="Z21" s="3" t="e">
        <f>VLOOKUP(N21,'Assessment Details'!$L$45:$M$48,2,FALSE)</f>
        <v>#N/A</v>
      </c>
      <c r="AA21" s="3" t="e">
        <f>VLOOKUP(T21,'Assessment Details'!$L$45:$M$48,2,FALSE)</f>
        <v>#N/A</v>
      </c>
      <c r="AJ21" s="40"/>
      <c r="AK21" s="40"/>
      <c r="AL21" s="22"/>
    </row>
    <row r="22" spans="1:38" x14ac:dyDescent="0.25">
      <c r="A22" s="62">
        <v>16</v>
      </c>
      <c r="B22" s="420" t="s">
        <v>69</v>
      </c>
      <c r="C22" s="208" t="str">
        <f>Hea_04</f>
        <v>Hea 04 Microbial contamination</v>
      </c>
      <c r="D22" s="209">
        <f>Hea04_credits</f>
        <v>1</v>
      </c>
      <c r="E22" s="72"/>
      <c r="F22" s="210">
        <f>Hea04_13</f>
        <v>0</v>
      </c>
      <c r="G22" s="222" t="str">
        <f>Hea04_11</f>
        <v>N/A</v>
      </c>
      <c r="H22" s="117"/>
      <c r="I22" s="445"/>
      <c r="J22" s="448"/>
      <c r="K22" s="242"/>
      <c r="L22" s="76"/>
      <c r="M22" s="118"/>
      <c r="N22" s="117"/>
      <c r="O22" s="123"/>
      <c r="P22" s="120"/>
      <c r="Q22" s="241"/>
      <c r="R22" s="122"/>
      <c r="S22" s="118"/>
      <c r="T22" s="117"/>
      <c r="U22" s="123"/>
      <c r="V22" s="120"/>
      <c r="W22" s="421"/>
      <c r="X22" s="191">
        <f t="shared" si="0"/>
        <v>1</v>
      </c>
      <c r="Y22" s="3" t="e">
        <f>VLOOKUP(I22,'Assessment Details'!$L$45:$M$48,2,FALSE)</f>
        <v>#N/A</v>
      </c>
      <c r="Z22" s="3" t="e">
        <f>VLOOKUP(N22,'Assessment Details'!$L$45:$M$48,2,FALSE)</f>
        <v>#N/A</v>
      </c>
      <c r="AA22" s="3" t="e">
        <f>VLOOKUP(T22,'Assessment Details'!$L$45:$M$48,2,FALSE)</f>
        <v>#N/A</v>
      </c>
      <c r="AJ22" s="40"/>
      <c r="AK22" s="40"/>
      <c r="AL22" s="22"/>
    </row>
    <row r="23" spans="1:38" x14ac:dyDescent="0.25">
      <c r="A23" s="62">
        <v>17</v>
      </c>
      <c r="B23" s="420" t="s">
        <v>69</v>
      </c>
      <c r="C23" s="208" t="str">
        <f>Hea_05</f>
        <v>Hea 05 Acoustic performance</v>
      </c>
      <c r="D23" s="209">
        <f>Hea05_credits</f>
        <v>2</v>
      </c>
      <c r="E23" s="72"/>
      <c r="F23" s="210">
        <f>Hea05_08</f>
        <v>0</v>
      </c>
      <c r="G23" s="222" t="str">
        <f>Hea05_minstd</f>
        <v>N/A</v>
      </c>
      <c r="H23" s="117"/>
      <c r="I23" s="445"/>
      <c r="J23" s="448"/>
      <c r="K23" s="242"/>
      <c r="L23" s="76"/>
      <c r="M23" s="118"/>
      <c r="N23" s="117"/>
      <c r="O23" s="123"/>
      <c r="P23" s="120"/>
      <c r="Q23" s="241"/>
      <c r="R23" s="122"/>
      <c r="S23" s="118"/>
      <c r="T23" s="117"/>
      <c r="U23" s="123"/>
      <c r="V23" s="120"/>
      <c r="W23" s="421"/>
      <c r="X23" s="191">
        <f t="shared" si="0"/>
        <v>1</v>
      </c>
      <c r="Y23" s="3" t="e">
        <f>VLOOKUP(I23,'Assessment Details'!$L$45:$M$48,2,FALSE)</f>
        <v>#N/A</v>
      </c>
      <c r="Z23" s="3" t="e">
        <f>VLOOKUP(N23,'Assessment Details'!$L$45:$M$48,2,FALSE)</f>
        <v>#N/A</v>
      </c>
      <c r="AA23" s="3" t="e">
        <f>VLOOKUP(T23,'Assessment Details'!$L$45:$M$48,2,FALSE)</f>
        <v>#N/A</v>
      </c>
      <c r="AJ23" s="22"/>
      <c r="AK23" s="22"/>
      <c r="AL23" s="22"/>
    </row>
    <row r="24" spans="1:38" x14ac:dyDescent="0.25">
      <c r="A24" s="62">
        <v>18</v>
      </c>
      <c r="B24" s="420" t="s">
        <v>69</v>
      </c>
      <c r="C24" s="208" t="str">
        <f>Hea_06</f>
        <v>Hea 06 Safe access</v>
      </c>
      <c r="D24" s="209">
        <f>Hea06_credits</f>
        <v>2</v>
      </c>
      <c r="E24" s="72"/>
      <c r="F24" s="210">
        <f>Hea06_contr</f>
        <v>0</v>
      </c>
      <c r="G24" s="222" t="str">
        <f>Hea06_minstd</f>
        <v>N/A</v>
      </c>
      <c r="H24" s="117"/>
      <c r="I24" s="445"/>
      <c r="J24" s="448"/>
      <c r="K24" s="240"/>
      <c r="L24" s="76"/>
      <c r="M24" s="118"/>
      <c r="N24" s="117"/>
      <c r="O24" s="123"/>
      <c r="P24" s="120"/>
      <c r="Q24" s="241"/>
      <c r="R24" s="122"/>
      <c r="S24" s="118"/>
      <c r="T24" s="117" t="s">
        <v>0</v>
      </c>
      <c r="U24" s="123"/>
      <c r="V24" s="120"/>
      <c r="W24" s="421"/>
      <c r="X24" s="191">
        <f t="shared" si="0"/>
        <v>1</v>
      </c>
      <c r="Y24" s="3" t="e">
        <f>VLOOKUP(I24,'Assessment Details'!$L$45:$M$48,2,FALSE)</f>
        <v>#N/A</v>
      </c>
      <c r="Z24" s="3" t="e">
        <f>VLOOKUP(N24,'Assessment Details'!$L$45:$M$48,2,FALSE)</f>
        <v>#N/A</v>
      </c>
      <c r="AA24" s="3">
        <f>VLOOKUP(T24,'Assessment Details'!$L$45:$M$48,2,FALSE)</f>
        <v>4</v>
      </c>
    </row>
    <row r="25" spans="1:38" x14ac:dyDescent="0.25">
      <c r="A25" s="62">
        <v>19</v>
      </c>
      <c r="B25" s="420" t="s">
        <v>69</v>
      </c>
      <c r="C25" s="208" t="str">
        <f>Hea_07</f>
        <v>Hea 07 Natural Hazards</v>
      </c>
      <c r="D25" s="209">
        <f>Hea07_Credits</f>
        <v>1</v>
      </c>
      <c r="E25" s="72"/>
      <c r="F25" s="210">
        <f>Hea07_contr</f>
        <v>0</v>
      </c>
      <c r="G25" s="222" t="str">
        <f>Hea07_minstd</f>
        <v>N/A</v>
      </c>
      <c r="H25" s="117"/>
      <c r="I25" s="445"/>
      <c r="J25" s="448"/>
      <c r="K25" s="242"/>
      <c r="L25" s="76"/>
      <c r="M25" s="118"/>
      <c r="N25" s="117"/>
      <c r="O25" s="123"/>
      <c r="P25" s="120"/>
      <c r="Q25" s="241"/>
      <c r="R25" s="122"/>
      <c r="S25" s="118"/>
      <c r="T25" s="117" t="s">
        <v>0</v>
      </c>
      <c r="U25" s="123"/>
      <c r="V25" s="120"/>
      <c r="W25" s="421"/>
      <c r="X25" s="191">
        <f t="shared" si="0"/>
        <v>1</v>
      </c>
      <c r="Y25" s="3" t="e">
        <f>VLOOKUP(I25,'Assessment Details'!$L$45:$M$48,2,FALSE)</f>
        <v>#N/A</v>
      </c>
      <c r="Z25" s="3" t="e">
        <f>VLOOKUP(N25,'Assessment Details'!$L$45:$M$48,2,FALSE)</f>
        <v>#N/A</v>
      </c>
      <c r="AA25" s="3">
        <f>VLOOKUP(T25,'Assessment Details'!$L$45:$M$48,2,FALSE)</f>
        <v>4</v>
      </c>
    </row>
    <row r="26" spans="1:38" x14ac:dyDescent="0.25">
      <c r="A26" s="62">
        <v>20</v>
      </c>
      <c r="B26" s="420" t="s">
        <v>69</v>
      </c>
      <c r="C26" s="208" t="str">
        <f>Hea_08</f>
        <v>Hea 08 Private space</v>
      </c>
      <c r="D26" s="209">
        <f>Hea08_Credits</f>
        <v>0</v>
      </c>
      <c r="E26" s="72"/>
      <c r="F26" s="210">
        <f>Hea08_contr</f>
        <v>0</v>
      </c>
      <c r="G26" s="224" t="str">
        <f>Hea08_minstd</f>
        <v>N/A</v>
      </c>
      <c r="H26" s="117"/>
      <c r="I26" s="445"/>
      <c r="J26" s="448"/>
      <c r="K26" s="242"/>
      <c r="L26" s="76"/>
      <c r="M26" s="118"/>
      <c r="N26" s="117"/>
      <c r="O26" s="123"/>
      <c r="P26" s="120"/>
      <c r="Q26" s="241"/>
      <c r="R26" s="122"/>
      <c r="S26" s="118"/>
      <c r="T26" s="117"/>
      <c r="U26" s="123"/>
      <c r="V26" s="120"/>
      <c r="W26" s="421"/>
      <c r="X26" s="191">
        <f t="shared" si="0"/>
        <v>2</v>
      </c>
      <c r="Y26" s="1" t="e">
        <f>VLOOKUP(I26,'Assessment Details'!$L$45:$M$48,2,FALSE)</f>
        <v>#N/A</v>
      </c>
      <c r="Z26" s="1" t="e">
        <f>VLOOKUP(N26,'Assessment Details'!$L$45:$M$48,2,FALSE)</f>
        <v>#N/A</v>
      </c>
      <c r="AA26" s="1" t="e">
        <f>VLOOKUP(T26,'Assessment Details'!$L$45:$M$48,2,FALSE)</f>
        <v>#N/A</v>
      </c>
    </row>
    <row r="27" spans="1:38" x14ac:dyDescent="0.25">
      <c r="A27" s="62">
        <v>21</v>
      </c>
      <c r="B27" s="420" t="s">
        <v>69</v>
      </c>
      <c r="C27" s="208" t="str">
        <f>Hea_09</f>
        <v>Hea 09 Moisture protection</v>
      </c>
      <c r="D27" s="209">
        <f>Hea09_Credits</f>
        <v>3</v>
      </c>
      <c r="E27" s="72"/>
      <c r="F27" s="210">
        <f>Hea09_cont</f>
        <v>0</v>
      </c>
      <c r="G27" s="222" t="str">
        <f>Hea09_minstd</f>
        <v>Good</v>
      </c>
      <c r="H27" s="117"/>
      <c r="I27" s="445"/>
      <c r="J27" s="448"/>
      <c r="K27" s="242"/>
      <c r="L27" s="76"/>
      <c r="M27" s="118"/>
      <c r="N27" s="117"/>
      <c r="O27" s="123"/>
      <c r="P27" s="120"/>
      <c r="Q27" s="241"/>
      <c r="R27" s="122"/>
      <c r="S27" s="118"/>
      <c r="T27" s="117"/>
      <c r="U27" s="123"/>
      <c r="V27" s="120"/>
      <c r="W27" s="421"/>
      <c r="X27" s="191">
        <f t="shared" si="0"/>
        <v>1</v>
      </c>
      <c r="Y27" s="3" t="e">
        <f>VLOOKUP(I27,'Assessment Details'!$L$45:$M$48,2,FALSE)</f>
        <v>#N/A</v>
      </c>
      <c r="Z27" s="3" t="e">
        <f>VLOOKUP(N27,'Assessment Details'!$L$45:$M$48,2,FALSE)</f>
        <v>#N/A</v>
      </c>
      <c r="AA27" s="3" t="e">
        <f>VLOOKUP(T27,'Assessment Details'!$L$45:$M$48,2,FALSE)</f>
        <v>#N/A</v>
      </c>
    </row>
    <row r="28" spans="1:38" ht="15.75" thickBot="1" x14ac:dyDescent="0.3">
      <c r="A28" s="62">
        <v>22</v>
      </c>
      <c r="B28" s="420" t="s">
        <v>69</v>
      </c>
      <c r="C28" s="214" t="s">
        <v>109</v>
      </c>
      <c r="D28" s="215">
        <f>Hea_Credits</f>
        <v>20</v>
      </c>
      <c r="E28" s="233"/>
      <c r="F28" s="216">
        <f>Hea_cont_tot</f>
        <v>0</v>
      </c>
      <c r="G28" s="217" t="str">
        <f>"Credits achieved: "&amp;HW_tot_user</f>
        <v>Credits achieved: 0</v>
      </c>
      <c r="H28" s="243"/>
      <c r="I28" s="446"/>
      <c r="J28" s="449"/>
      <c r="K28" s="242"/>
      <c r="L28" s="244"/>
      <c r="M28" s="258"/>
      <c r="N28" s="259"/>
      <c r="O28" s="259"/>
      <c r="P28" s="260"/>
      <c r="Q28" s="241"/>
      <c r="R28" s="248"/>
      <c r="S28" s="258"/>
      <c r="T28" s="259"/>
      <c r="U28" s="259"/>
      <c r="V28" s="260"/>
      <c r="W28" s="421"/>
      <c r="X28" s="191">
        <f t="shared" si="0"/>
        <v>1</v>
      </c>
      <c r="Y28" s="438">
        <v>0</v>
      </c>
      <c r="Z28" s="438">
        <v>0</v>
      </c>
      <c r="AA28" s="438">
        <v>0</v>
      </c>
    </row>
    <row r="29" spans="1:38" x14ac:dyDescent="0.25">
      <c r="A29" s="62">
        <v>23</v>
      </c>
      <c r="B29" s="420" t="s">
        <v>69</v>
      </c>
      <c r="C29" s="412"/>
      <c r="D29" s="219"/>
      <c r="E29" s="234"/>
      <c r="F29" s="219"/>
      <c r="G29" s="219"/>
      <c r="H29" s="249"/>
      <c r="I29" s="234"/>
      <c r="J29" s="249"/>
      <c r="K29" s="240"/>
      <c r="L29" s="234"/>
      <c r="M29" s="249"/>
      <c r="N29" s="250"/>
      <c r="O29" s="250"/>
      <c r="P29" s="250"/>
      <c r="Q29" s="251"/>
      <c r="R29" s="250"/>
      <c r="S29" s="249"/>
      <c r="T29" s="250"/>
      <c r="U29" s="250"/>
      <c r="V29" s="250"/>
      <c r="W29" s="439"/>
      <c r="X29" s="191">
        <f t="shared" si="0"/>
        <v>1</v>
      </c>
      <c r="Y29" s="440">
        <v>0</v>
      </c>
      <c r="Z29" s="440">
        <v>0</v>
      </c>
      <c r="AA29" s="440">
        <v>0</v>
      </c>
    </row>
    <row r="30" spans="1:38" ht="18.75" customHeight="1" x14ac:dyDescent="0.3">
      <c r="A30" s="62">
        <v>24</v>
      </c>
      <c r="B30" s="420" t="s">
        <v>70</v>
      </c>
      <c r="C30" s="413" t="s">
        <v>49</v>
      </c>
      <c r="D30" s="207"/>
      <c r="E30" s="232"/>
      <c r="F30" s="225"/>
      <c r="G30" s="207"/>
      <c r="H30" s="252"/>
      <c r="I30" s="253"/>
      <c r="J30" s="451"/>
      <c r="K30" s="242"/>
      <c r="L30" s="261"/>
      <c r="M30" s="252"/>
      <c r="N30" s="262"/>
      <c r="O30" s="262"/>
      <c r="P30" s="263"/>
      <c r="Q30" s="241"/>
      <c r="R30" s="264"/>
      <c r="S30" s="252"/>
      <c r="T30" s="262"/>
      <c r="U30" s="262"/>
      <c r="V30" s="263"/>
      <c r="W30" s="421"/>
      <c r="X30" s="191">
        <f t="shared" si="0"/>
        <v>1</v>
      </c>
      <c r="Y30" s="436">
        <v>0</v>
      </c>
      <c r="Z30" s="436">
        <v>0</v>
      </c>
      <c r="AA30" s="436">
        <v>0</v>
      </c>
    </row>
    <row r="31" spans="1:38" x14ac:dyDescent="0.25">
      <c r="A31" s="62">
        <v>25</v>
      </c>
      <c r="B31" s="420" t="s">
        <v>70</v>
      </c>
      <c r="C31" s="208" t="str">
        <f>Ene_01</f>
        <v>Ene 01 Energy efficiency</v>
      </c>
      <c r="D31" s="209">
        <f>Ene01_credits</f>
        <v>12</v>
      </c>
      <c r="E31" s="72"/>
      <c r="F31" s="210">
        <f>Ene01_42</f>
        <v>0</v>
      </c>
      <c r="G31" s="224" t="str">
        <f>Ene01_28</f>
        <v>Very Good</v>
      </c>
      <c r="H31" s="117"/>
      <c r="I31" s="445"/>
      <c r="J31" s="448"/>
      <c r="K31" s="242"/>
      <c r="L31" s="76"/>
      <c r="M31" s="118"/>
      <c r="N31" s="117"/>
      <c r="O31" s="123"/>
      <c r="P31" s="120"/>
      <c r="Q31" s="241"/>
      <c r="R31" s="122"/>
      <c r="S31" s="118"/>
      <c r="T31" s="117"/>
      <c r="U31" s="123"/>
      <c r="V31" s="120"/>
      <c r="W31" s="421"/>
      <c r="X31" s="191">
        <f t="shared" si="0"/>
        <v>1</v>
      </c>
      <c r="Y31" s="3" t="e">
        <f>VLOOKUP(I31,'Assessment Details'!$L$45:$M$48,2,FALSE)</f>
        <v>#N/A</v>
      </c>
      <c r="Z31" s="3" t="e">
        <f>VLOOKUP(N31,'Assessment Details'!$L$45:$M$48,2,FALSE)</f>
        <v>#N/A</v>
      </c>
      <c r="AA31" s="3" t="e">
        <f>VLOOKUP(T31,'Assessment Details'!$L$45:$M$48,2,FALSE)</f>
        <v>#N/A</v>
      </c>
    </row>
    <row r="32" spans="1:38" x14ac:dyDescent="0.25">
      <c r="A32" s="62">
        <v>26</v>
      </c>
      <c r="B32" s="420" t="s">
        <v>70</v>
      </c>
      <c r="C32" s="208" t="str">
        <f>Ene_02</f>
        <v>Ene 02 Energy monitoring</v>
      </c>
      <c r="D32" s="209">
        <f>Ene02_credits</f>
        <v>3</v>
      </c>
      <c r="E32" s="72"/>
      <c r="F32" s="210">
        <f>Ene02_13</f>
        <v>0</v>
      </c>
      <c r="G32" s="222" t="str">
        <f>Ene02_12</f>
        <v>Good</v>
      </c>
      <c r="H32" s="117"/>
      <c r="I32" s="445"/>
      <c r="J32" s="448"/>
      <c r="K32" s="242"/>
      <c r="L32" s="76"/>
      <c r="M32" s="118"/>
      <c r="N32" s="117"/>
      <c r="O32" s="123"/>
      <c r="P32" s="120"/>
      <c r="Q32" s="241"/>
      <c r="R32" s="122"/>
      <c r="S32" s="118"/>
      <c r="T32" s="117"/>
      <c r="U32" s="123"/>
      <c r="V32" s="120"/>
      <c r="W32" s="421"/>
      <c r="X32" s="191">
        <f t="shared" si="0"/>
        <v>1</v>
      </c>
      <c r="Y32" s="1" t="e">
        <f>VLOOKUP(I32,'Assessment Details'!$L$45:$M$48,2,FALSE)</f>
        <v>#N/A</v>
      </c>
      <c r="Z32" s="1" t="e">
        <f>VLOOKUP(N32,'Assessment Details'!$L$45:$M$48,2,FALSE)</f>
        <v>#N/A</v>
      </c>
      <c r="AA32" s="1" t="e">
        <f>VLOOKUP(T32,'Assessment Details'!$L$45:$M$48,2,FALSE)</f>
        <v>#N/A</v>
      </c>
    </row>
    <row r="33" spans="1:27" x14ac:dyDescent="0.25">
      <c r="A33" s="62">
        <v>27</v>
      </c>
      <c r="B33" s="420" t="s">
        <v>70</v>
      </c>
      <c r="C33" s="208" t="str">
        <f>Ene_03</f>
        <v>Ene 03 External lighting</v>
      </c>
      <c r="D33" s="209">
        <f>Ene03_credits</f>
        <v>1</v>
      </c>
      <c r="E33" s="72"/>
      <c r="F33" s="210">
        <f>Ene03_06</f>
        <v>0</v>
      </c>
      <c r="G33" s="223" t="str">
        <f>Ene03_minstd</f>
        <v>N/A</v>
      </c>
      <c r="H33" s="117"/>
      <c r="I33" s="445"/>
      <c r="J33" s="448"/>
      <c r="K33" s="242"/>
      <c r="L33" s="76"/>
      <c r="M33" s="118"/>
      <c r="N33" s="117"/>
      <c r="O33" s="123"/>
      <c r="P33" s="120"/>
      <c r="Q33" s="241"/>
      <c r="R33" s="122"/>
      <c r="S33" s="118"/>
      <c r="T33" s="117"/>
      <c r="U33" s="123"/>
      <c r="V33" s="120"/>
      <c r="W33" s="421"/>
      <c r="X33" s="191">
        <f t="shared" si="0"/>
        <v>1</v>
      </c>
      <c r="Y33" s="3" t="e">
        <f>VLOOKUP(I33,'Assessment Details'!$L$45:$M$48,2,FALSE)</f>
        <v>#N/A</v>
      </c>
      <c r="Z33" s="3" t="e">
        <f>VLOOKUP(N33,'Assessment Details'!$L$45:$M$48,2,FALSE)</f>
        <v>#N/A</v>
      </c>
      <c r="AA33" s="3" t="e">
        <f>VLOOKUP(T33,'Assessment Details'!$L$45:$M$48,2,FALSE)</f>
        <v>#N/A</v>
      </c>
    </row>
    <row r="34" spans="1:27" x14ac:dyDescent="0.25">
      <c r="A34" s="62">
        <v>28</v>
      </c>
      <c r="B34" s="420" t="s">
        <v>70</v>
      </c>
      <c r="C34" s="208" t="str">
        <f>Ene_04</f>
        <v>Ene 04 Low and zero carbon technologies</v>
      </c>
      <c r="D34" s="209">
        <f>Ene04_credits</f>
        <v>2</v>
      </c>
      <c r="E34" s="72"/>
      <c r="F34" s="210">
        <f>Ene04_20</f>
        <v>0</v>
      </c>
      <c r="G34" s="222" t="str">
        <f>Ene04_16</f>
        <v>Very Good</v>
      </c>
      <c r="H34" s="117"/>
      <c r="I34" s="445"/>
      <c r="J34" s="448"/>
      <c r="K34" s="242"/>
      <c r="L34" s="76"/>
      <c r="M34" s="118"/>
      <c r="N34" s="117"/>
      <c r="O34" s="123"/>
      <c r="P34" s="120"/>
      <c r="Q34" s="241"/>
      <c r="R34" s="122"/>
      <c r="S34" s="118"/>
      <c r="T34" s="117"/>
      <c r="U34" s="123"/>
      <c r="V34" s="120"/>
      <c r="W34" s="421"/>
      <c r="X34" s="191">
        <f t="shared" si="0"/>
        <v>1</v>
      </c>
      <c r="Y34" s="1" t="e">
        <f>VLOOKUP(I34,'Assessment Details'!$L$45:$M$48,2,FALSE)</f>
        <v>#N/A</v>
      </c>
      <c r="Z34" s="1" t="e">
        <f>VLOOKUP(N34,'Assessment Details'!$L$45:$M$48,2,FALSE)</f>
        <v>#N/A</v>
      </c>
      <c r="AA34" s="1" t="e">
        <f>VLOOKUP(T34,'Assessment Details'!$L$45:$M$48,2,FALSE)</f>
        <v>#N/A</v>
      </c>
    </row>
    <row r="35" spans="1:27" x14ac:dyDescent="0.25">
      <c r="A35" s="62">
        <v>29</v>
      </c>
      <c r="B35" s="420" t="s">
        <v>70</v>
      </c>
      <c r="C35" s="208" t="str">
        <f>Ene_05</f>
        <v>Ene 05 Energy efficient cold storage</v>
      </c>
      <c r="D35" s="209">
        <f>Ene05_credits</f>
        <v>0</v>
      </c>
      <c r="E35" s="72"/>
      <c r="F35" s="210">
        <f>Ene05_21</f>
        <v>0</v>
      </c>
      <c r="G35" s="222" t="str">
        <f>Ene05_15</f>
        <v>N/A</v>
      </c>
      <c r="H35" s="117"/>
      <c r="I35" s="445"/>
      <c r="J35" s="448"/>
      <c r="K35" s="242"/>
      <c r="L35" s="76"/>
      <c r="M35" s="118"/>
      <c r="N35" s="117"/>
      <c r="O35" s="123"/>
      <c r="P35" s="120"/>
      <c r="Q35" s="241"/>
      <c r="R35" s="122"/>
      <c r="S35" s="118"/>
      <c r="T35" s="117"/>
      <c r="U35" s="123"/>
      <c r="V35" s="120"/>
      <c r="W35" s="421"/>
      <c r="X35" s="191">
        <f t="shared" si="0"/>
        <v>2</v>
      </c>
      <c r="Y35" s="3" t="e">
        <f>VLOOKUP(I35,'Assessment Details'!$L$45:$M$48,2,FALSE)</f>
        <v>#N/A</v>
      </c>
      <c r="Z35" s="3" t="e">
        <f>VLOOKUP(N35,'Assessment Details'!$L$45:$M$48,2,FALSE)</f>
        <v>#N/A</v>
      </c>
      <c r="AA35" s="3" t="e">
        <f>VLOOKUP(T35,'Assessment Details'!$L$45:$M$48,2,FALSE)</f>
        <v>#N/A</v>
      </c>
    </row>
    <row r="36" spans="1:27" ht="15" customHeight="1" x14ac:dyDescent="0.25">
      <c r="A36" s="62">
        <v>30</v>
      </c>
      <c r="B36" s="420" t="s">
        <v>70</v>
      </c>
      <c r="C36" s="208" t="str">
        <f>Ene_06</f>
        <v>Ene 06 Energy efficient transportation systems</v>
      </c>
      <c r="D36" s="209">
        <f>Ene06_credits</f>
        <v>0</v>
      </c>
      <c r="E36" s="72"/>
      <c r="F36" s="210">
        <f>Ene06_12</f>
        <v>0</v>
      </c>
      <c r="G36" s="222" t="str">
        <f>Ene06_minstd</f>
        <v>N/A</v>
      </c>
      <c r="H36" s="117"/>
      <c r="I36" s="445"/>
      <c r="J36" s="448"/>
      <c r="K36" s="242"/>
      <c r="L36" s="76"/>
      <c r="M36" s="118"/>
      <c r="N36" s="117"/>
      <c r="O36" s="123"/>
      <c r="P36" s="120"/>
      <c r="Q36" s="241"/>
      <c r="R36" s="122"/>
      <c r="S36" s="118"/>
      <c r="T36" s="117"/>
      <c r="U36" s="123"/>
      <c r="V36" s="120"/>
      <c r="W36" s="421"/>
      <c r="X36" s="191">
        <f t="shared" si="0"/>
        <v>2</v>
      </c>
      <c r="Y36" s="1" t="e">
        <f>VLOOKUP(I36,'Assessment Details'!$L$45:$M$48,2,FALSE)</f>
        <v>#N/A</v>
      </c>
      <c r="Z36" s="1" t="e">
        <f>VLOOKUP(N36,'Assessment Details'!$L$45:$M$48,2,FALSE)</f>
        <v>#N/A</v>
      </c>
      <c r="AA36" s="1" t="e">
        <f>VLOOKUP(T36,'Assessment Details'!$L$45:$M$48,2,FALSE)</f>
        <v>#N/A</v>
      </c>
    </row>
    <row r="37" spans="1:27" x14ac:dyDescent="0.25">
      <c r="A37" s="62">
        <v>31</v>
      </c>
      <c r="B37" s="420" t="s">
        <v>70</v>
      </c>
      <c r="C37" s="208" t="str">
        <f>Ene_07</f>
        <v>Ene 07 Energy Efficient Laboratory Systems</v>
      </c>
      <c r="D37" s="209">
        <f>Ene07_credits</f>
        <v>0</v>
      </c>
      <c r="E37" s="72"/>
      <c r="F37" s="210">
        <f>Ene07_25</f>
        <v>0</v>
      </c>
      <c r="G37" s="222" t="str">
        <f>Ene07_minstd</f>
        <v>N/A</v>
      </c>
      <c r="H37" s="117"/>
      <c r="I37" s="445"/>
      <c r="J37" s="448"/>
      <c r="K37" s="242"/>
      <c r="L37" s="76"/>
      <c r="M37" s="118"/>
      <c r="N37" s="117"/>
      <c r="O37" s="123"/>
      <c r="P37" s="120"/>
      <c r="Q37" s="241"/>
      <c r="R37" s="122"/>
      <c r="S37" s="118"/>
      <c r="T37" s="117"/>
      <c r="U37" s="123"/>
      <c r="V37" s="120"/>
      <c r="W37" s="421"/>
      <c r="X37" s="191">
        <f t="shared" si="0"/>
        <v>2</v>
      </c>
      <c r="Y37" s="1" t="e">
        <f>VLOOKUP(I37,'Assessment Details'!$L$45:$M$48,2,FALSE)</f>
        <v>#N/A</v>
      </c>
      <c r="Z37" s="1" t="e">
        <f>VLOOKUP(N37,'Assessment Details'!$L$45:$M$48,2,FALSE)</f>
        <v>#N/A</v>
      </c>
      <c r="AA37" s="1" t="e">
        <f>VLOOKUP(T37,'Assessment Details'!$L$45:$M$48,2,FALSE)</f>
        <v>#N/A</v>
      </c>
    </row>
    <row r="38" spans="1:27" x14ac:dyDescent="0.25">
      <c r="A38" s="62">
        <v>32</v>
      </c>
      <c r="B38" s="420" t="s">
        <v>70</v>
      </c>
      <c r="C38" s="208" t="str">
        <f>Ene_08</f>
        <v>Ene 08 Energy efficient equipment</v>
      </c>
      <c r="D38" s="209">
        <f>Ene08_credits</f>
        <v>2</v>
      </c>
      <c r="E38" s="72"/>
      <c r="F38" s="210">
        <f>Ene08_29</f>
        <v>0</v>
      </c>
      <c r="G38" s="224" t="str">
        <f>Ene08_minstd</f>
        <v>N/A</v>
      </c>
      <c r="H38" s="117"/>
      <c r="I38" s="445"/>
      <c r="J38" s="448"/>
      <c r="K38" s="242"/>
      <c r="L38" s="76"/>
      <c r="M38" s="118"/>
      <c r="N38" s="117"/>
      <c r="O38" s="123"/>
      <c r="P38" s="120"/>
      <c r="Q38" s="241"/>
      <c r="R38" s="122"/>
      <c r="S38" s="118"/>
      <c r="T38" s="117"/>
      <c r="U38" s="123"/>
      <c r="V38" s="120"/>
      <c r="W38" s="421"/>
      <c r="X38" s="191">
        <f t="shared" si="0"/>
        <v>1</v>
      </c>
      <c r="Y38" s="1" t="e">
        <f>VLOOKUP(I38,'Assessment Details'!$L$45:$M$48,2,FALSE)</f>
        <v>#N/A</v>
      </c>
      <c r="Z38" s="1" t="e">
        <f>VLOOKUP(N38,'Assessment Details'!$L$45:$M$48,2,FALSE)</f>
        <v>#N/A</v>
      </c>
      <c r="AA38" s="1" t="e">
        <f>VLOOKUP(T38,'Assessment Details'!$L$45:$M$48,2,FALSE)</f>
        <v>#N/A</v>
      </c>
    </row>
    <row r="39" spans="1:27" x14ac:dyDescent="0.25">
      <c r="A39" s="62">
        <v>33</v>
      </c>
      <c r="B39" s="420" t="s">
        <v>70</v>
      </c>
      <c r="C39" s="208" t="str">
        <f>Ene_09</f>
        <v>Ene 09 Drying space</v>
      </c>
      <c r="D39" s="209">
        <f>Ene09_credits</f>
        <v>0</v>
      </c>
      <c r="E39" s="72"/>
      <c r="F39" s="210">
        <f>Ene09_10</f>
        <v>0</v>
      </c>
      <c r="G39" s="222" t="str">
        <f>Ene09_minstd</f>
        <v>N/A</v>
      </c>
      <c r="H39" s="117"/>
      <c r="I39" s="445" t="s">
        <v>0</v>
      </c>
      <c r="J39" s="448"/>
      <c r="K39" s="242"/>
      <c r="L39" s="76"/>
      <c r="M39" s="118"/>
      <c r="N39" s="117"/>
      <c r="O39" s="123"/>
      <c r="P39" s="120"/>
      <c r="Q39" s="241"/>
      <c r="R39" s="122"/>
      <c r="S39" s="118"/>
      <c r="T39" s="117"/>
      <c r="U39" s="123"/>
      <c r="V39" s="120"/>
      <c r="W39" s="421"/>
      <c r="X39" s="191">
        <f t="shared" si="0"/>
        <v>2</v>
      </c>
      <c r="Y39" s="1">
        <f>VLOOKUP(I39,'Assessment Details'!$L$45:$M$48,2,FALSE)</f>
        <v>4</v>
      </c>
      <c r="Z39" s="1" t="e">
        <f>VLOOKUP(N39,'Assessment Details'!$L$45:$M$48,2,FALSE)</f>
        <v>#N/A</v>
      </c>
      <c r="AA39" s="1" t="e">
        <f>VLOOKUP(T39,'Assessment Details'!$L$45:$M$48,2,FALSE)</f>
        <v>#N/A</v>
      </c>
    </row>
    <row r="40" spans="1:27" ht="30" x14ac:dyDescent="0.25">
      <c r="A40" s="62">
        <v>34</v>
      </c>
      <c r="B40" s="420" t="s">
        <v>70</v>
      </c>
      <c r="C40" s="226" t="str">
        <f>Ene_23</f>
        <v>Ene 23 Energy performance of building structure and installations</v>
      </c>
      <c r="D40" s="209">
        <f>Ene23_credits</f>
        <v>2</v>
      </c>
      <c r="E40" s="72"/>
      <c r="F40" s="227">
        <f>Ene23_cont</f>
        <v>0</v>
      </c>
      <c r="G40" s="228" t="str">
        <f>Ene23_minstd</f>
        <v>Excellent</v>
      </c>
      <c r="H40" s="117"/>
      <c r="I40" s="445"/>
      <c r="J40" s="448"/>
      <c r="K40" s="242"/>
      <c r="L40" s="76"/>
      <c r="M40" s="118"/>
      <c r="N40" s="117"/>
      <c r="O40" s="123"/>
      <c r="P40" s="120"/>
      <c r="Q40" s="241"/>
      <c r="R40" s="122"/>
      <c r="S40" s="118"/>
      <c r="T40" s="117"/>
      <c r="U40" s="123"/>
      <c r="V40" s="120"/>
      <c r="W40" s="421"/>
      <c r="X40" s="191">
        <f t="shared" si="0"/>
        <v>1</v>
      </c>
      <c r="Y40" s="1" t="e">
        <f>VLOOKUP(I40,'Assessment Details'!$L$45:$M$48,2,FALSE)</f>
        <v>#N/A</v>
      </c>
      <c r="Z40" s="1" t="e">
        <f>VLOOKUP(N40,'Assessment Details'!$L$45:$M$48,2,FALSE)</f>
        <v>#N/A</v>
      </c>
      <c r="AA40" s="1" t="e">
        <f>VLOOKUP(T40,'Assessment Details'!$L$45:$M$48,2,FALSE)</f>
        <v>#N/A</v>
      </c>
    </row>
    <row r="41" spans="1:27" ht="15.75" thickBot="1" x14ac:dyDescent="0.3">
      <c r="A41" s="62">
        <v>35</v>
      </c>
      <c r="B41" s="420" t="s">
        <v>70</v>
      </c>
      <c r="C41" s="214" t="s">
        <v>110</v>
      </c>
      <c r="D41" s="215">
        <f>Ene_Credits</f>
        <v>22</v>
      </c>
      <c r="E41" s="233"/>
      <c r="F41" s="216">
        <f>Ene_cont_tot</f>
        <v>0</v>
      </c>
      <c r="G41" s="217" t="str">
        <f>"Credits achieved: "&amp;Ene_tot_user</f>
        <v>Credits achieved: 0</v>
      </c>
      <c r="H41" s="243"/>
      <c r="I41" s="446"/>
      <c r="J41" s="449"/>
      <c r="K41" s="242"/>
      <c r="L41" s="244"/>
      <c r="M41" s="258"/>
      <c r="N41" s="259"/>
      <c r="O41" s="259"/>
      <c r="P41" s="260"/>
      <c r="Q41" s="241"/>
      <c r="R41" s="248"/>
      <c r="S41" s="258"/>
      <c r="T41" s="259"/>
      <c r="U41" s="259"/>
      <c r="V41" s="260"/>
      <c r="W41" s="421"/>
      <c r="X41" s="191">
        <f t="shared" ref="X41:X72" si="1">IF(D41="",1,IF(D41=0,2,1))</f>
        <v>1</v>
      </c>
      <c r="Y41" s="438">
        <v>0</v>
      </c>
      <c r="Z41" s="438">
        <v>0</v>
      </c>
      <c r="AA41" s="438">
        <v>0</v>
      </c>
    </row>
    <row r="42" spans="1:27" x14ac:dyDescent="0.25">
      <c r="A42" s="62">
        <v>36</v>
      </c>
      <c r="B42" s="420" t="s">
        <v>70</v>
      </c>
      <c r="C42" s="218"/>
      <c r="D42" s="219"/>
      <c r="E42" s="234"/>
      <c r="F42" s="219"/>
      <c r="G42" s="219"/>
      <c r="H42" s="249"/>
      <c r="I42" s="234"/>
      <c r="J42" s="249"/>
      <c r="K42" s="240"/>
      <c r="L42" s="234"/>
      <c r="M42" s="249"/>
      <c r="N42" s="250"/>
      <c r="O42" s="250"/>
      <c r="P42" s="250"/>
      <c r="Q42" s="251"/>
      <c r="R42" s="250"/>
      <c r="S42" s="249"/>
      <c r="T42" s="250"/>
      <c r="U42" s="250"/>
      <c r="V42" s="250"/>
      <c r="W42" s="439"/>
      <c r="X42" s="191">
        <f t="shared" si="1"/>
        <v>1</v>
      </c>
      <c r="Y42" s="440">
        <v>0</v>
      </c>
      <c r="Z42" s="440">
        <v>0</v>
      </c>
      <c r="AA42" s="440">
        <v>0</v>
      </c>
    </row>
    <row r="43" spans="1:27" ht="18.75" customHeight="1" x14ac:dyDescent="0.3">
      <c r="A43" s="62">
        <v>37</v>
      </c>
      <c r="B43" s="420" t="s">
        <v>71</v>
      </c>
      <c r="C43" s="220" t="s">
        <v>57</v>
      </c>
      <c r="D43" s="207"/>
      <c r="E43" s="232"/>
      <c r="F43" s="225"/>
      <c r="G43" s="207"/>
      <c r="H43" s="252"/>
      <c r="I43" s="253"/>
      <c r="J43" s="451"/>
      <c r="K43" s="242"/>
      <c r="L43" s="261"/>
      <c r="M43" s="252"/>
      <c r="N43" s="262"/>
      <c r="O43" s="262"/>
      <c r="P43" s="263"/>
      <c r="Q43" s="241"/>
      <c r="R43" s="264"/>
      <c r="S43" s="252"/>
      <c r="T43" s="262"/>
      <c r="U43" s="262"/>
      <c r="V43" s="263"/>
      <c r="W43" s="421"/>
      <c r="X43" s="191">
        <f t="shared" si="1"/>
        <v>1</v>
      </c>
      <c r="Y43" s="436">
        <v>0</v>
      </c>
      <c r="Z43" s="436">
        <v>0</v>
      </c>
      <c r="AA43" s="436">
        <v>0</v>
      </c>
    </row>
    <row r="44" spans="1:27" x14ac:dyDescent="0.25">
      <c r="A44" s="62">
        <v>38</v>
      </c>
      <c r="B44" s="420" t="s">
        <v>71</v>
      </c>
      <c r="C44" s="208" t="str">
        <f>Tra_01</f>
        <v>Tra 01 Public transport accessibility</v>
      </c>
      <c r="D44" s="209">
        <f>Tra01_credits</f>
        <v>3</v>
      </c>
      <c r="E44" s="72"/>
      <c r="F44" s="210">
        <f>TRa01_08</f>
        <v>0</v>
      </c>
      <c r="G44" s="224" t="str">
        <f>Tra01_minstd</f>
        <v>N/A</v>
      </c>
      <c r="H44" s="117"/>
      <c r="I44" s="445"/>
      <c r="J44" s="448"/>
      <c r="K44" s="242"/>
      <c r="L44" s="76"/>
      <c r="M44" s="118"/>
      <c r="N44" s="117"/>
      <c r="O44" s="123"/>
      <c r="P44" s="120"/>
      <c r="Q44" s="241"/>
      <c r="R44" s="122"/>
      <c r="S44" s="118"/>
      <c r="T44" s="117"/>
      <c r="U44" s="123"/>
      <c r="V44" s="120"/>
      <c r="W44" s="421"/>
      <c r="X44" s="191">
        <f t="shared" si="1"/>
        <v>1</v>
      </c>
      <c r="Y44" s="3" t="e">
        <f>VLOOKUP(I44,'Assessment Details'!$L$45:$M$48,2,FALSE)</f>
        <v>#N/A</v>
      </c>
      <c r="Z44" s="3" t="e">
        <f>VLOOKUP(N44,'Assessment Details'!$L$45:$M$48,2,FALSE)</f>
        <v>#N/A</v>
      </c>
      <c r="AA44" s="3" t="e">
        <f>VLOOKUP(T44,'Assessment Details'!$L$45:$M$48,2,FALSE)</f>
        <v>#N/A</v>
      </c>
    </row>
    <row r="45" spans="1:27" x14ac:dyDescent="0.25">
      <c r="A45" s="62">
        <v>39</v>
      </c>
      <c r="B45" s="420" t="s">
        <v>71</v>
      </c>
      <c r="C45" s="208" t="str">
        <f>Tra_02</f>
        <v>Tra 02 Proximity to amenities</v>
      </c>
      <c r="D45" s="209">
        <f>Tra02_credits</f>
        <v>1</v>
      </c>
      <c r="E45" s="72"/>
      <c r="F45" s="210">
        <f>Tra02_07</f>
        <v>0</v>
      </c>
      <c r="G45" s="222" t="str">
        <f>Tra02_minstd</f>
        <v>N/A</v>
      </c>
      <c r="H45" s="117"/>
      <c r="I45" s="445"/>
      <c r="J45" s="448"/>
      <c r="K45" s="242"/>
      <c r="L45" s="76"/>
      <c r="M45" s="118"/>
      <c r="N45" s="117"/>
      <c r="O45" s="123"/>
      <c r="P45" s="120"/>
      <c r="Q45" s="241"/>
      <c r="R45" s="122"/>
      <c r="S45" s="118"/>
      <c r="T45" s="117"/>
      <c r="U45" s="123"/>
      <c r="V45" s="120"/>
      <c r="W45" s="421"/>
      <c r="X45" s="191">
        <f t="shared" si="1"/>
        <v>1</v>
      </c>
      <c r="Y45" s="3" t="e">
        <f>VLOOKUP(I45,'Assessment Details'!$L$45:$M$48,2,FALSE)</f>
        <v>#N/A</v>
      </c>
      <c r="Z45" s="3" t="e">
        <f>VLOOKUP(N45,'Assessment Details'!$L$45:$M$48,2,FALSE)</f>
        <v>#N/A</v>
      </c>
      <c r="AA45" s="3" t="e">
        <f>VLOOKUP(T45,'Assessment Details'!$L$45:$M$48,2,FALSE)</f>
        <v>#N/A</v>
      </c>
    </row>
    <row r="46" spans="1:27" x14ac:dyDescent="0.25">
      <c r="A46" s="62">
        <v>40</v>
      </c>
      <c r="B46" s="420" t="s">
        <v>71</v>
      </c>
      <c r="C46" s="208" t="str">
        <f>Tra_03</f>
        <v>Tra 03 Alternative modes of transport</v>
      </c>
      <c r="D46" s="209">
        <f>Tra03_credits</f>
        <v>2</v>
      </c>
      <c r="E46" s="72"/>
      <c r="F46" s="210">
        <f>Tra03_14</f>
        <v>0</v>
      </c>
      <c r="G46" s="223" t="str">
        <f>Tra03_minstd</f>
        <v>N/A</v>
      </c>
      <c r="H46" s="117"/>
      <c r="I46" s="445"/>
      <c r="J46" s="448"/>
      <c r="K46" s="242"/>
      <c r="L46" s="76"/>
      <c r="M46" s="118"/>
      <c r="N46" s="117"/>
      <c r="O46" s="123"/>
      <c r="P46" s="120"/>
      <c r="Q46" s="241"/>
      <c r="R46" s="122"/>
      <c r="S46" s="118"/>
      <c r="T46" s="117"/>
      <c r="U46" s="123"/>
      <c r="V46" s="120"/>
      <c r="W46" s="421"/>
      <c r="X46" s="191">
        <f t="shared" si="1"/>
        <v>1</v>
      </c>
      <c r="Y46" s="3" t="e">
        <f>VLOOKUP(I46,'Assessment Details'!$L$45:$M$48,2,FALSE)</f>
        <v>#N/A</v>
      </c>
      <c r="Z46" s="3" t="e">
        <f>VLOOKUP(N46,'Assessment Details'!$L$45:$M$48,2,FALSE)</f>
        <v>#N/A</v>
      </c>
      <c r="AA46" s="3" t="e">
        <f>VLOOKUP(T46,'Assessment Details'!$L$45:$M$48,2,FALSE)</f>
        <v>#N/A</v>
      </c>
    </row>
    <row r="47" spans="1:27" x14ac:dyDescent="0.25">
      <c r="A47" s="62">
        <v>41</v>
      </c>
      <c r="B47" s="420" t="s">
        <v>71</v>
      </c>
      <c r="C47" s="208" t="str">
        <f>Tra_04</f>
        <v>Tra 04 Maximum car parking capacity</v>
      </c>
      <c r="D47" s="209">
        <f>Tra04_credits</f>
        <v>2</v>
      </c>
      <c r="E47" s="72"/>
      <c r="F47" s="210">
        <f>Tra04_10</f>
        <v>0</v>
      </c>
      <c r="G47" s="222" t="str">
        <f>Tra04_minstd</f>
        <v>N/A</v>
      </c>
      <c r="H47" s="117"/>
      <c r="I47" s="445"/>
      <c r="J47" s="448"/>
      <c r="K47" s="242"/>
      <c r="L47" s="76"/>
      <c r="M47" s="118"/>
      <c r="N47" s="117"/>
      <c r="O47" s="123"/>
      <c r="P47" s="120"/>
      <c r="Q47" s="241"/>
      <c r="R47" s="122"/>
      <c r="S47" s="118"/>
      <c r="T47" s="117"/>
      <c r="U47" s="123"/>
      <c r="V47" s="120"/>
      <c r="W47" s="421"/>
      <c r="X47" s="191">
        <f t="shared" si="1"/>
        <v>1</v>
      </c>
      <c r="Y47" s="1" t="e">
        <f>VLOOKUP(I47,'Assessment Details'!$L$45:$M$48,2,FALSE)</f>
        <v>#N/A</v>
      </c>
      <c r="Z47" s="1" t="e">
        <f>VLOOKUP(N47,'Assessment Details'!$L$45:$M$48,2,FALSE)</f>
        <v>#N/A</v>
      </c>
      <c r="AA47" s="1" t="e">
        <f>VLOOKUP(T47,'Assessment Details'!$L$45:$M$48,2,FALSE)</f>
        <v>#N/A</v>
      </c>
    </row>
    <row r="48" spans="1:27" x14ac:dyDescent="0.25">
      <c r="A48" s="62">
        <v>42</v>
      </c>
      <c r="B48" s="420" t="s">
        <v>71</v>
      </c>
      <c r="C48" s="208" t="str">
        <f>Tra_05</f>
        <v>Tra 05 Travel plan</v>
      </c>
      <c r="D48" s="209">
        <f>Tra05_credits</f>
        <v>1</v>
      </c>
      <c r="E48" s="72"/>
      <c r="F48" s="210">
        <f>Tra05_05</f>
        <v>0</v>
      </c>
      <c r="G48" s="222" t="str">
        <f>Tra05_minstd</f>
        <v>N/A</v>
      </c>
      <c r="H48" s="117"/>
      <c r="I48" s="445"/>
      <c r="J48" s="448"/>
      <c r="K48" s="240"/>
      <c r="L48" s="76"/>
      <c r="M48" s="118"/>
      <c r="N48" s="117"/>
      <c r="O48" s="123"/>
      <c r="P48" s="120"/>
      <c r="Q48" s="241"/>
      <c r="R48" s="122"/>
      <c r="S48" s="118"/>
      <c r="T48" s="117"/>
      <c r="U48" s="123"/>
      <c r="V48" s="120"/>
      <c r="W48" s="421"/>
      <c r="X48" s="191">
        <f t="shared" si="1"/>
        <v>1</v>
      </c>
      <c r="Y48" s="3" t="e">
        <f>VLOOKUP(I48,'Assessment Details'!$L$45:$M$48,2,FALSE)</f>
        <v>#N/A</v>
      </c>
      <c r="Z48" s="3" t="e">
        <f>VLOOKUP(N48,'Assessment Details'!$L$45:$M$48,2,FALSE)</f>
        <v>#N/A</v>
      </c>
      <c r="AA48" s="3" t="e">
        <f>VLOOKUP(T48,'Assessment Details'!$L$45:$M$48,2,FALSE)</f>
        <v>#N/A</v>
      </c>
    </row>
    <row r="49" spans="1:27" ht="15.75" thickBot="1" x14ac:dyDescent="0.3">
      <c r="A49" s="62">
        <v>43</v>
      </c>
      <c r="B49" s="420" t="s">
        <v>71</v>
      </c>
      <c r="C49" s="214" t="s">
        <v>111</v>
      </c>
      <c r="D49" s="215">
        <f>Tra_Credits</f>
        <v>9</v>
      </c>
      <c r="E49" s="233"/>
      <c r="F49" s="216">
        <f>Tra_cont_tot</f>
        <v>0</v>
      </c>
      <c r="G49" s="217" t="str">
        <f>"Credits achieved: "&amp;Tra_tot_user</f>
        <v>Credits achieved: 0</v>
      </c>
      <c r="H49" s="243"/>
      <c r="I49" s="446"/>
      <c r="J49" s="449"/>
      <c r="K49" s="242"/>
      <c r="L49" s="244"/>
      <c r="M49" s="258"/>
      <c r="N49" s="259"/>
      <c r="O49" s="259"/>
      <c r="P49" s="260"/>
      <c r="Q49" s="241"/>
      <c r="R49" s="248"/>
      <c r="S49" s="258"/>
      <c r="T49" s="259"/>
      <c r="U49" s="259"/>
      <c r="V49" s="260"/>
      <c r="W49" s="421"/>
      <c r="X49" s="191">
        <f t="shared" si="1"/>
        <v>1</v>
      </c>
      <c r="Y49" s="438">
        <v>0</v>
      </c>
      <c r="Z49" s="438">
        <v>0</v>
      </c>
      <c r="AA49" s="438">
        <v>0</v>
      </c>
    </row>
    <row r="50" spans="1:27" x14ac:dyDescent="0.25">
      <c r="A50" s="62">
        <v>44</v>
      </c>
      <c r="B50" s="420" t="s">
        <v>71</v>
      </c>
      <c r="C50" s="218"/>
      <c r="D50" s="219"/>
      <c r="E50" s="234"/>
      <c r="F50" s="219"/>
      <c r="G50" s="219"/>
      <c r="H50" s="249"/>
      <c r="I50" s="234"/>
      <c r="J50" s="249"/>
      <c r="K50" s="240"/>
      <c r="L50" s="234"/>
      <c r="M50" s="249"/>
      <c r="N50" s="250"/>
      <c r="O50" s="250"/>
      <c r="P50" s="250"/>
      <c r="Q50" s="251"/>
      <c r="R50" s="250"/>
      <c r="S50" s="249"/>
      <c r="T50" s="250"/>
      <c r="U50" s="250"/>
      <c r="V50" s="250"/>
      <c r="W50" s="439"/>
      <c r="X50" s="191">
        <f t="shared" si="1"/>
        <v>1</v>
      </c>
      <c r="Y50" s="440">
        <v>0</v>
      </c>
      <c r="Z50" s="440">
        <v>0</v>
      </c>
      <c r="AA50" s="440">
        <v>0</v>
      </c>
    </row>
    <row r="51" spans="1:27" ht="18.75" customHeight="1" x14ac:dyDescent="0.3">
      <c r="A51" s="62">
        <v>45</v>
      </c>
      <c r="B51" s="73" t="s">
        <v>63</v>
      </c>
      <c r="C51" s="220" t="s">
        <v>58</v>
      </c>
      <c r="D51" s="207"/>
      <c r="E51" s="232"/>
      <c r="F51" s="225"/>
      <c r="G51" s="207"/>
      <c r="H51" s="252"/>
      <c r="I51" s="253"/>
      <c r="J51" s="451"/>
      <c r="K51" s="242"/>
      <c r="L51" s="261"/>
      <c r="M51" s="252"/>
      <c r="N51" s="262"/>
      <c r="O51" s="262"/>
      <c r="P51" s="263"/>
      <c r="Q51" s="241"/>
      <c r="R51" s="264"/>
      <c r="S51" s="252"/>
      <c r="T51" s="262"/>
      <c r="U51" s="262"/>
      <c r="V51" s="263"/>
      <c r="W51" s="421"/>
      <c r="X51" s="191">
        <f t="shared" si="1"/>
        <v>1</v>
      </c>
      <c r="Y51" s="436">
        <v>0</v>
      </c>
      <c r="Z51" s="436">
        <v>0</v>
      </c>
      <c r="AA51" s="436">
        <v>0</v>
      </c>
    </row>
    <row r="52" spans="1:27" x14ac:dyDescent="0.25">
      <c r="A52" s="62">
        <v>46</v>
      </c>
      <c r="B52" s="420" t="s">
        <v>63</v>
      </c>
      <c r="C52" s="208" t="str">
        <f>Wat_01</f>
        <v>Wat 01 Water consumption</v>
      </c>
      <c r="D52" s="209">
        <f>Wat01_credits</f>
        <v>5</v>
      </c>
      <c r="E52" s="72"/>
      <c r="F52" s="210">
        <f>Wat01_15</f>
        <v>0</v>
      </c>
      <c r="G52" s="224" t="str">
        <f>Wat01_09</f>
        <v>Very Good</v>
      </c>
      <c r="H52" s="117"/>
      <c r="I52" s="445"/>
      <c r="J52" s="448"/>
      <c r="K52" s="242"/>
      <c r="L52" s="76"/>
      <c r="M52" s="118"/>
      <c r="N52" s="117"/>
      <c r="O52" s="123"/>
      <c r="P52" s="120"/>
      <c r="Q52" s="241"/>
      <c r="R52" s="122"/>
      <c r="S52" s="118"/>
      <c r="T52" s="117"/>
      <c r="U52" s="123"/>
      <c r="V52" s="120"/>
      <c r="W52" s="421"/>
      <c r="X52" s="191">
        <f t="shared" si="1"/>
        <v>1</v>
      </c>
      <c r="Y52" s="1" t="e">
        <f>VLOOKUP(I52,'Assessment Details'!$L$45:$M$48,2,FALSE)</f>
        <v>#N/A</v>
      </c>
      <c r="Z52" s="1" t="e">
        <f>VLOOKUP(N52,'Assessment Details'!$L$45:$M$48,2,FALSE)</f>
        <v>#N/A</v>
      </c>
      <c r="AA52" s="1" t="e">
        <f>VLOOKUP(T52,'Assessment Details'!$L$45:$M$48,2,FALSE)</f>
        <v>#N/A</v>
      </c>
    </row>
    <row r="53" spans="1:27" x14ac:dyDescent="0.25">
      <c r="A53" s="62">
        <v>47</v>
      </c>
      <c r="B53" s="420" t="s">
        <v>63</v>
      </c>
      <c r="C53" s="208" t="str">
        <f>Wat_02</f>
        <v>Wat 02 Water monitoring</v>
      </c>
      <c r="D53" s="209">
        <f>Wat02_credits</f>
        <v>1</v>
      </c>
      <c r="E53" s="72"/>
      <c r="F53" s="210">
        <f>Wat02_13</f>
        <v>0</v>
      </c>
      <c r="G53" s="222" t="str">
        <f>Wat02_11</f>
        <v>N/A</v>
      </c>
      <c r="H53" s="117"/>
      <c r="I53" s="445"/>
      <c r="J53" s="448"/>
      <c r="K53" s="242"/>
      <c r="L53" s="76"/>
      <c r="M53" s="118"/>
      <c r="N53" s="117"/>
      <c r="O53" s="123"/>
      <c r="P53" s="120"/>
      <c r="Q53" s="241"/>
      <c r="R53" s="122"/>
      <c r="S53" s="118"/>
      <c r="T53" s="117"/>
      <c r="U53" s="123"/>
      <c r="V53" s="120"/>
      <c r="W53" s="421"/>
      <c r="X53" s="191">
        <f t="shared" si="1"/>
        <v>1</v>
      </c>
      <c r="Y53" s="1" t="e">
        <f>VLOOKUP(I53,'Assessment Details'!$L$45:$M$48,2,FALSE)</f>
        <v>#N/A</v>
      </c>
      <c r="Z53" s="1" t="e">
        <f>VLOOKUP(N53,'Assessment Details'!$L$45:$M$48,2,FALSE)</f>
        <v>#N/A</v>
      </c>
      <c r="AA53" s="1" t="e">
        <f>VLOOKUP(T53,'Assessment Details'!$L$45:$M$48,2,FALSE)</f>
        <v>#N/A</v>
      </c>
    </row>
    <row r="54" spans="1:27" x14ac:dyDescent="0.25">
      <c r="A54" s="62">
        <v>48</v>
      </c>
      <c r="B54" s="420" t="s">
        <v>63</v>
      </c>
      <c r="C54" s="208" t="str">
        <f>Wat_03</f>
        <v>Wat 03 Water leak detection and prevention</v>
      </c>
      <c r="D54" s="209">
        <f>Wat03_credits</f>
        <v>2</v>
      </c>
      <c r="E54" s="72"/>
      <c r="F54" s="210">
        <f>Wat03_10</f>
        <v>0</v>
      </c>
      <c r="G54" s="223" t="str">
        <f>Wat03_minstd</f>
        <v>N/A</v>
      </c>
      <c r="H54" s="117"/>
      <c r="I54" s="445"/>
      <c r="J54" s="448"/>
      <c r="K54" s="242"/>
      <c r="L54" s="76"/>
      <c r="M54" s="118"/>
      <c r="N54" s="117"/>
      <c r="O54" s="123"/>
      <c r="P54" s="120"/>
      <c r="Q54" s="241"/>
      <c r="R54" s="122"/>
      <c r="S54" s="118"/>
      <c r="T54" s="117"/>
      <c r="U54" s="123"/>
      <c r="V54" s="120"/>
      <c r="W54" s="421"/>
      <c r="X54" s="191">
        <f t="shared" si="1"/>
        <v>1</v>
      </c>
      <c r="Y54" s="3" t="e">
        <f>VLOOKUP(I54,'Assessment Details'!$L$45:$M$48,2,FALSE)</f>
        <v>#N/A</v>
      </c>
      <c r="Z54" s="3" t="e">
        <f>VLOOKUP(N54,'Assessment Details'!$L$45:$M$48,2,FALSE)</f>
        <v>#N/A</v>
      </c>
      <c r="AA54" s="3" t="e">
        <f>VLOOKUP(T54,'Assessment Details'!$L$45:$M$48,2,FALSE)</f>
        <v>#N/A</v>
      </c>
    </row>
    <row r="55" spans="1:27" x14ac:dyDescent="0.25">
      <c r="A55" s="62">
        <v>49</v>
      </c>
      <c r="B55" s="420" t="s">
        <v>63</v>
      </c>
      <c r="C55" s="208" t="str">
        <f>Wat_04</f>
        <v>Wat 04 Water efficient equipment</v>
      </c>
      <c r="D55" s="209">
        <f>Wat04_credits</f>
        <v>0</v>
      </c>
      <c r="E55" s="72"/>
      <c r="F55" s="210">
        <f>Wat04_06</f>
        <v>0</v>
      </c>
      <c r="G55" s="222" t="str">
        <f>Wat04_minstd</f>
        <v>N/A</v>
      </c>
      <c r="H55" s="117"/>
      <c r="I55" s="445"/>
      <c r="J55" s="448"/>
      <c r="K55" s="242"/>
      <c r="L55" s="76"/>
      <c r="M55" s="118"/>
      <c r="N55" s="117"/>
      <c r="O55" s="123"/>
      <c r="P55" s="120"/>
      <c r="Q55" s="241"/>
      <c r="R55" s="122"/>
      <c r="S55" s="118"/>
      <c r="T55" s="117"/>
      <c r="U55" s="123"/>
      <c r="V55" s="120"/>
      <c r="W55" s="421"/>
      <c r="X55" s="191">
        <f t="shared" si="1"/>
        <v>2</v>
      </c>
      <c r="Y55" s="3" t="e">
        <f>VLOOKUP(I55,'Assessment Details'!$L$45:$M$48,2,FALSE)</f>
        <v>#N/A</v>
      </c>
      <c r="Z55" s="3" t="e">
        <f>VLOOKUP(N55,'Assessment Details'!$L$45:$M$48,2,FALSE)</f>
        <v>#N/A</v>
      </c>
      <c r="AA55" s="3" t="e">
        <f>VLOOKUP(T55,'Assessment Details'!$L$45:$M$48,2,FALSE)</f>
        <v>#N/A</v>
      </c>
    </row>
    <row r="56" spans="1:27" ht="15.75" thickBot="1" x14ac:dyDescent="0.3">
      <c r="A56" s="62">
        <v>50</v>
      </c>
      <c r="B56" s="420" t="s">
        <v>63</v>
      </c>
      <c r="C56" s="214" t="s">
        <v>112</v>
      </c>
      <c r="D56" s="215">
        <f>Wat_Credits</f>
        <v>8</v>
      </c>
      <c r="E56" s="233"/>
      <c r="F56" s="216">
        <f>Wat_cont_tot</f>
        <v>0</v>
      </c>
      <c r="G56" s="217" t="str">
        <f>"Credits achieved: "&amp;Wat_tot_user</f>
        <v>Credits achieved: 0</v>
      </c>
      <c r="H56" s="243"/>
      <c r="I56" s="446"/>
      <c r="J56" s="449"/>
      <c r="K56" s="242"/>
      <c r="L56" s="244"/>
      <c r="M56" s="258"/>
      <c r="N56" s="259"/>
      <c r="O56" s="259"/>
      <c r="P56" s="260"/>
      <c r="Q56" s="241"/>
      <c r="R56" s="248"/>
      <c r="S56" s="258"/>
      <c r="T56" s="259"/>
      <c r="U56" s="259"/>
      <c r="V56" s="260"/>
      <c r="W56" s="421"/>
      <c r="X56" s="191">
        <f t="shared" si="1"/>
        <v>1</v>
      </c>
      <c r="Y56" s="438">
        <v>0</v>
      </c>
      <c r="Z56" s="438">
        <v>0</v>
      </c>
      <c r="AA56" s="438">
        <v>0</v>
      </c>
    </row>
    <row r="57" spans="1:27" x14ac:dyDescent="0.25">
      <c r="A57" s="62">
        <v>51</v>
      </c>
      <c r="B57" s="420" t="s">
        <v>63</v>
      </c>
      <c r="C57" s="218"/>
      <c r="D57" s="219"/>
      <c r="E57" s="234"/>
      <c r="F57" s="219"/>
      <c r="G57" s="219"/>
      <c r="H57" s="249"/>
      <c r="I57" s="234"/>
      <c r="J57" s="249"/>
      <c r="K57" s="240"/>
      <c r="L57" s="234"/>
      <c r="M57" s="249"/>
      <c r="N57" s="250"/>
      <c r="O57" s="250"/>
      <c r="P57" s="250"/>
      <c r="Q57" s="251"/>
      <c r="R57" s="250"/>
      <c r="S57" s="249"/>
      <c r="T57" s="250"/>
      <c r="U57" s="250"/>
      <c r="V57" s="250"/>
      <c r="W57" s="439"/>
      <c r="X57" s="191">
        <f t="shared" si="1"/>
        <v>1</v>
      </c>
      <c r="Y57" s="440">
        <v>0</v>
      </c>
      <c r="Z57" s="440">
        <v>0</v>
      </c>
      <c r="AA57" s="440">
        <v>0</v>
      </c>
    </row>
    <row r="58" spans="1:27" ht="18.75" customHeight="1" x14ac:dyDescent="0.3">
      <c r="A58" s="62">
        <v>52</v>
      </c>
      <c r="B58" s="420" t="s">
        <v>72</v>
      </c>
      <c r="C58" s="220" t="s">
        <v>59</v>
      </c>
      <c r="D58" s="207"/>
      <c r="E58" s="232"/>
      <c r="F58" s="225"/>
      <c r="G58" s="207"/>
      <c r="H58" s="252"/>
      <c r="I58" s="253"/>
      <c r="J58" s="451"/>
      <c r="K58" s="242"/>
      <c r="L58" s="261"/>
      <c r="M58" s="252"/>
      <c r="N58" s="262"/>
      <c r="O58" s="262"/>
      <c r="P58" s="263"/>
      <c r="Q58" s="241"/>
      <c r="R58" s="264"/>
      <c r="S58" s="252"/>
      <c r="T58" s="262"/>
      <c r="U58" s="262"/>
      <c r="V58" s="263"/>
      <c r="W58" s="421"/>
      <c r="X58" s="191">
        <f t="shared" si="1"/>
        <v>1</v>
      </c>
      <c r="Y58" s="436">
        <v>0</v>
      </c>
      <c r="Z58" s="436">
        <v>0</v>
      </c>
      <c r="AA58" s="436">
        <v>0</v>
      </c>
    </row>
    <row r="59" spans="1:27" x14ac:dyDescent="0.25">
      <c r="A59" s="62">
        <v>53</v>
      </c>
      <c r="B59" s="420" t="s">
        <v>72</v>
      </c>
      <c r="C59" s="208" t="str">
        <f>Mat_01</f>
        <v>Mat 01 Life cycle impacts</v>
      </c>
      <c r="D59" s="209">
        <f>Mat01_credits</f>
        <v>7</v>
      </c>
      <c r="E59" s="72"/>
      <c r="F59" s="210">
        <f>Mat01_28</f>
        <v>0</v>
      </c>
      <c r="G59" s="224" t="str">
        <f>Mat01_minstd</f>
        <v>Outstanding</v>
      </c>
      <c r="H59" s="117"/>
      <c r="I59" s="445"/>
      <c r="J59" s="448"/>
      <c r="K59" s="242"/>
      <c r="L59" s="76"/>
      <c r="M59" s="118"/>
      <c r="N59" s="117"/>
      <c r="O59" s="123"/>
      <c r="P59" s="120"/>
      <c r="Q59" s="241"/>
      <c r="R59" s="122"/>
      <c r="S59" s="118"/>
      <c r="T59" s="117"/>
      <c r="U59" s="123"/>
      <c r="V59" s="120"/>
      <c r="W59" s="421"/>
      <c r="X59" s="191">
        <f t="shared" si="1"/>
        <v>1</v>
      </c>
      <c r="Y59" s="1" t="e">
        <f>VLOOKUP(I59,'Assessment Details'!$L$45:$M$48,2,FALSE)</f>
        <v>#N/A</v>
      </c>
      <c r="Z59" s="1" t="e">
        <f>VLOOKUP(N59,'Assessment Details'!$L$45:$M$48,2,FALSE)</f>
        <v>#N/A</v>
      </c>
      <c r="AA59" s="1" t="e">
        <f>VLOOKUP(T59,'Assessment Details'!$L$45:$M$48,2,FALSE)</f>
        <v>#N/A</v>
      </c>
    </row>
    <row r="60" spans="1:27" x14ac:dyDescent="0.25">
      <c r="A60" s="62">
        <v>54</v>
      </c>
      <c r="B60" s="420" t="s">
        <v>72</v>
      </c>
      <c r="C60" s="208" t="str">
        <f>Mat01_Crit1</f>
        <v>Mat 01 Life cycle impacts  - Criteria 1</v>
      </c>
      <c r="D60" s="209" t="str">
        <f>Mat01_Crit1_credits</f>
        <v>Yes/No</v>
      </c>
      <c r="E60" s="72" t="s">
        <v>15</v>
      </c>
      <c r="F60" s="210" t="str">
        <f>Mat01_Crit1_cont</f>
        <v>-</v>
      </c>
      <c r="G60" s="221" t="str">
        <f>Mat01_minstd</f>
        <v>Outstanding</v>
      </c>
      <c r="H60" s="117"/>
      <c r="I60" s="445"/>
      <c r="J60" s="448"/>
      <c r="K60" s="242"/>
      <c r="L60" s="76"/>
      <c r="M60" s="118"/>
      <c r="N60" s="117"/>
      <c r="O60" s="123"/>
      <c r="P60" s="120"/>
      <c r="Q60" s="241"/>
      <c r="R60" s="122"/>
      <c r="S60" s="118"/>
      <c r="T60" s="117"/>
      <c r="U60" s="123"/>
      <c r="V60" s="120"/>
      <c r="W60" s="421"/>
      <c r="X60" s="191">
        <f t="shared" si="1"/>
        <v>1</v>
      </c>
      <c r="Y60" s="1" t="e">
        <f>VLOOKUP(I60,'Assessment Details'!$L$45:$M$48,2,FALSE)</f>
        <v>#N/A</v>
      </c>
      <c r="Z60" s="1" t="e">
        <f>VLOOKUP(N60,'Assessment Details'!$L$45:$M$48,2,FALSE)</f>
        <v>#N/A</v>
      </c>
      <c r="AA60" s="1" t="e">
        <f>VLOOKUP(T60,'Assessment Details'!$L$45:$M$48,2,FALSE)</f>
        <v>#N/A</v>
      </c>
    </row>
    <row r="61" spans="1:27" x14ac:dyDescent="0.25">
      <c r="A61" s="62">
        <v>55</v>
      </c>
      <c r="B61" s="420" t="s">
        <v>72</v>
      </c>
      <c r="C61" s="208" t="str">
        <f>Mat_03</f>
        <v>Mat 03 Responsible sourcing of materials</v>
      </c>
      <c r="D61" s="209">
        <f>Mat03_credits</f>
        <v>3</v>
      </c>
      <c r="E61" s="72"/>
      <c r="F61" s="210">
        <f>Mat03_38</f>
        <v>0</v>
      </c>
      <c r="G61" s="222" t="str">
        <f>Mat03_minstd</f>
        <v>Unclassified</v>
      </c>
      <c r="H61" s="117"/>
      <c r="I61" s="445"/>
      <c r="J61" s="448"/>
      <c r="K61" s="242"/>
      <c r="L61" s="76"/>
      <c r="M61" s="118"/>
      <c r="N61" s="117"/>
      <c r="O61" s="123"/>
      <c r="P61" s="120"/>
      <c r="Q61" s="241"/>
      <c r="R61" s="122"/>
      <c r="S61" s="118"/>
      <c r="T61" s="117"/>
      <c r="U61" s="123"/>
      <c r="V61" s="120"/>
      <c r="W61" s="421"/>
      <c r="X61" s="191">
        <f t="shared" si="1"/>
        <v>1</v>
      </c>
      <c r="Y61" s="3" t="e">
        <f>VLOOKUP(I61,'Assessment Details'!$L$45:$M$48,2,FALSE)</f>
        <v>#N/A</v>
      </c>
      <c r="Z61" s="3" t="e">
        <f>VLOOKUP(N61,'Assessment Details'!$L$45:$M$48,2,FALSE)</f>
        <v>#N/A</v>
      </c>
      <c r="AA61" s="3" t="e">
        <f>VLOOKUP(T61,'Assessment Details'!$L$45:$M$48,2,FALSE)</f>
        <v>#N/A</v>
      </c>
    </row>
    <row r="62" spans="1:27" x14ac:dyDescent="0.25">
      <c r="A62" s="62">
        <v>56</v>
      </c>
      <c r="B62" s="420" t="s">
        <v>72</v>
      </c>
      <c r="C62" s="208" t="str">
        <f>Mat03_Crit1</f>
        <v>Mat 03 Responsible sourcing of mat.  - Crit 1.</v>
      </c>
      <c r="D62" s="209" t="str">
        <f>Mat03_Crit1_credits</f>
        <v>Yes/No</v>
      </c>
      <c r="E62" s="72" t="s">
        <v>15</v>
      </c>
      <c r="F62" s="210" t="str">
        <f>Mat03_Crit1_cont</f>
        <v>-</v>
      </c>
      <c r="G62" s="222" t="str">
        <f>Mat03_minstd</f>
        <v>Unclassified</v>
      </c>
      <c r="H62" s="117"/>
      <c r="I62" s="445" t="s">
        <v>0</v>
      </c>
      <c r="J62" s="448"/>
      <c r="K62" s="242"/>
      <c r="L62" s="76"/>
      <c r="M62" s="118"/>
      <c r="N62" s="117"/>
      <c r="O62" s="123"/>
      <c r="P62" s="120"/>
      <c r="Q62" s="241"/>
      <c r="R62" s="122"/>
      <c r="S62" s="118"/>
      <c r="T62" s="117"/>
      <c r="U62" s="123"/>
      <c r="V62" s="120"/>
      <c r="W62" s="421"/>
      <c r="X62" s="191">
        <f t="shared" si="1"/>
        <v>1</v>
      </c>
      <c r="Y62" s="3">
        <f>VLOOKUP(I62,'Assessment Details'!$L$45:$M$48,2,FALSE)</f>
        <v>4</v>
      </c>
      <c r="Z62" s="3" t="e">
        <f>VLOOKUP(N62,'Assessment Details'!$L$45:$M$48,2,FALSE)</f>
        <v>#N/A</v>
      </c>
      <c r="AA62" s="3" t="e">
        <f>VLOOKUP(T62,'Assessment Details'!$L$45:$M$48,2,FALSE)</f>
        <v>#N/A</v>
      </c>
    </row>
    <row r="63" spans="1:27" x14ac:dyDescent="0.25">
      <c r="A63" s="62">
        <v>57</v>
      </c>
      <c r="B63" s="420" t="s">
        <v>72</v>
      </c>
      <c r="C63" s="208" t="str">
        <f>Mat_05</f>
        <v>Mat 05 Designing for robustness</v>
      </c>
      <c r="D63" s="209">
        <f>Mat05_credits</f>
        <v>1</v>
      </c>
      <c r="E63" s="72"/>
      <c r="F63" s="210">
        <f>Mat05_06</f>
        <v>0</v>
      </c>
      <c r="G63" s="224" t="str">
        <f>Mat05_minstd</f>
        <v>N/A</v>
      </c>
      <c r="H63" s="117"/>
      <c r="I63" s="445"/>
      <c r="J63" s="452"/>
      <c r="K63" s="242"/>
      <c r="L63" s="76"/>
      <c r="M63" s="118"/>
      <c r="N63" s="117"/>
      <c r="O63" s="123"/>
      <c r="P63" s="120"/>
      <c r="Q63" s="241"/>
      <c r="R63" s="122"/>
      <c r="S63" s="118"/>
      <c r="T63" s="117"/>
      <c r="U63" s="123"/>
      <c r="V63" s="120"/>
      <c r="W63" s="421"/>
      <c r="X63" s="191">
        <f t="shared" si="1"/>
        <v>1</v>
      </c>
      <c r="Y63" s="3" t="e">
        <f>VLOOKUP(I63,'Assessment Details'!$L$45:$M$48,2,FALSE)</f>
        <v>#N/A</v>
      </c>
      <c r="Z63" s="3" t="e">
        <f>VLOOKUP(N63,'Assessment Details'!$L$45:$M$48,2,FALSE)</f>
        <v>#N/A</v>
      </c>
      <c r="AA63" s="3" t="e">
        <f>VLOOKUP(T63,'Assessment Details'!$L$45:$M$48,2,FALSE)</f>
        <v>#N/A</v>
      </c>
    </row>
    <row r="64" spans="1:27" ht="15.75" thickBot="1" x14ac:dyDescent="0.3">
      <c r="A64" s="62">
        <v>58</v>
      </c>
      <c r="B64" s="420" t="s">
        <v>72</v>
      </c>
      <c r="C64" s="214" t="s">
        <v>113</v>
      </c>
      <c r="D64" s="215">
        <f>Mat_Credits</f>
        <v>11</v>
      </c>
      <c r="E64" s="233"/>
      <c r="F64" s="216">
        <f>Mat_cont_tot</f>
        <v>0</v>
      </c>
      <c r="G64" s="217" t="str">
        <f>"Credits achieved: "&amp;Mat_tot_user</f>
        <v>Credits achieved: 0</v>
      </c>
      <c r="H64" s="243"/>
      <c r="I64" s="446"/>
      <c r="J64" s="449"/>
      <c r="K64" s="242"/>
      <c r="L64" s="244"/>
      <c r="M64" s="258"/>
      <c r="N64" s="259"/>
      <c r="O64" s="259"/>
      <c r="P64" s="260"/>
      <c r="Q64" s="241"/>
      <c r="R64" s="248"/>
      <c r="S64" s="258"/>
      <c r="T64" s="259"/>
      <c r="U64" s="259"/>
      <c r="V64" s="260"/>
      <c r="W64" s="421"/>
      <c r="X64" s="191">
        <f t="shared" si="1"/>
        <v>1</v>
      </c>
      <c r="Y64" s="438">
        <v>0</v>
      </c>
      <c r="Z64" s="438">
        <v>0</v>
      </c>
      <c r="AA64" s="438">
        <v>0</v>
      </c>
    </row>
    <row r="65" spans="1:27" x14ac:dyDescent="0.25">
      <c r="A65" s="62">
        <v>59</v>
      </c>
      <c r="B65" s="420" t="s">
        <v>72</v>
      </c>
      <c r="C65" s="412"/>
      <c r="D65" s="219"/>
      <c r="E65" s="234"/>
      <c r="F65" s="219"/>
      <c r="G65" s="219"/>
      <c r="H65" s="249"/>
      <c r="I65" s="234"/>
      <c r="J65" s="249"/>
      <c r="K65" s="240"/>
      <c r="L65" s="234"/>
      <c r="M65" s="249"/>
      <c r="N65" s="250"/>
      <c r="O65" s="250"/>
      <c r="P65" s="250"/>
      <c r="Q65" s="251"/>
      <c r="R65" s="250"/>
      <c r="S65" s="249"/>
      <c r="T65" s="250"/>
      <c r="U65" s="250"/>
      <c r="V65" s="250"/>
      <c r="W65" s="439"/>
      <c r="X65" s="191">
        <f t="shared" si="1"/>
        <v>1</v>
      </c>
      <c r="Y65" s="440">
        <v>0</v>
      </c>
      <c r="Z65" s="440">
        <v>0</v>
      </c>
      <c r="AA65" s="440">
        <v>0</v>
      </c>
    </row>
    <row r="66" spans="1:27" ht="18.75" customHeight="1" x14ac:dyDescent="0.3">
      <c r="A66" s="62">
        <v>60</v>
      </c>
      <c r="B66" s="420" t="s">
        <v>73</v>
      </c>
      <c r="C66" s="413" t="s">
        <v>60</v>
      </c>
      <c r="D66" s="207"/>
      <c r="E66" s="232"/>
      <c r="F66" s="225"/>
      <c r="G66" s="207"/>
      <c r="H66" s="252"/>
      <c r="I66" s="253"/>
      <c r="J66" s="451"/>
      <c r="K66" s="242"/>
      <c r="L66" s="261"/>
      <c r="M66" s="252"/>
      <c r="N66" s="262"/>
      <c r="O66" s="262"/>
      <c r="P66" s="263"/>
      <c r="Q66" s="241"/>
      <c r="R66" s="264"/>
      <c r="S66" s="252"/>
      <c r="T66" s="262"/>
      <c r="U66" s="262"/>
      <c r="V66" s="263"/>
      <c r="W66" s="421"/>
      <c r="X66" s="191">
        <f t="shared" si="1"/>
        <v>1</v>
      </c>
      <c r="Y66" s="436">
        <v>0</v>
      </c>
      <c r="Z66" s="436">
        <v>0</v>
      </c>
      <c r="AA66" s="436">
        <v>0</v>
      </c>
    </row>
    <row r="67" spans="1:27" x14ac:dyDescent="0.25">
      <c r="A67" s="62">
        <v>61</v>
      </c>
      <c r="B67" s="420" t="s">
        <v>73</v>
      </c>
      <c r="C67" s="226" t="str">
        <f>Wst_01</f>
        <v>Wst 01 Construction waste management</v>
      </c>
      <c r="D67" s="209">
        <f>Wst01_credits</f>
        <v>3</v>
      </c>
      <c r="E67" s="72"/>
      <c r="F67" s="210">
        <f>Wst01_28</f>
        <v>0</v>
      </c>
      <c r="G67" s="224" t="str">
        <f>Wst01_18</f>
        <v>Excellent</v>
      </c>
      <c r="H67" s="117"/>
      <c r="I67" s="445"/>
      <c r="J67" s="448"/>
      <c r="K67" s="242"/>
      <c r="L67" s="76"/>
      <c r="M67" s="118"/>
      <c r="N67" s="117"/>
      <c r="O67" s="123"/>
      <c r="P67" s="120"/>
      <c r="Q67" s="241"/>
      <c r="R67" s="122"/>
      <c r="S67" s="118"/>
      <c r="T67" s="117"/>
      <c r="U67" s="123"/>
      <c r="V67" s="120"/>
      <c r="W67" s="421"/>
      <c r="X67" s="191">
        <f t="shared" si="1"/>
        <v>1</v>
      </c>
      <c r="Y67" s="1" t="e">
        <f>VLOOKUP(I67,'Assessment Details'!$L$45:$M$48,2,FALSE)</f>
        <v>#N/A</v>
      </c>
      <c r="Z67" s="1" t="e">
        <f>VLOOKUP(N67,'Assessment Details'!$L$45:$M$48,2,FALSE)</f>
        <v>#N/A</v>
      </c>
      <c r="AA67" s="1" t="e">
        <f>VLOOKUP(T67,'Assessment Details'!$L$45:$M$48,2,FALSE)</f>
        <v>#N/A</v>
      </c>
    </row>
    <row r="68" spans="1:27" x14ac:dyDescent="0.25">
      <c r="A68" s="62">
        <v>62</v>
      </c>
      <c r="B68" s="420" t="s">
        <v>73</v>
      </c>
      <c r="C68" s="226" t="str">
        <f>Wst_02</f>
        <v>Wst 02 Recycled aggregates</v>
      </c>
      <c r="D68" s="209">
        <f>Wst02_credits</f>
        <v>1</v>
      </c>
      <c r="E68" s="72"/>
      <c r="F68" s="210">
        <f>Wst02_15</f>
        <v>0</v>
      </c>
      <c r="G68" s="222" t="str">
        <f>Wst02_minstd</f>
        <v>N/A</v>
      </c>
      <c r="H68" s="117"/>
      <c r="I68" s="445"/>
      <c r="J68" s="448"/>
      <c r="K68" s="242"/>
      <c r="L68" s="76"/>
      <c r="M68" s="118"/>
      <c r="N68" s="117"/>
      <c r="O68" s="123"/>
      <c r="P68" s="120"/>
      <c r="Q68" s="241"/>
      <c r="R68" s="122"/>
      <c r="S68" s="118"/>
      <c r="T68" s="117"/>
      <c r="U68" s="123"/>
      <c r="V68" s="120"/>
      <c r="W68" s="421"/>
      <c r="X68" s="191">
        <f t="shared" si="1"/>
        <v>1</v>
      </c>
      <c r="Y68" s="1" t="e">
        <f>VLOOKUP(I68,'Assessment Details'!$L$45:$M$48,2,FALSE)</f>
        <v>#N/A</v>
      </c>
      <c r="Z68" s="1" t="e">
        <f>VLOOKUP(N68,'Assessment Details'!$L$45:$M$48,2,FALSE)</f>
        <v>#N/A</v>
      </c>
      <c r="AA68" s="1" t="e">
        <f>VLOOKUP(T68,'Assessment Details'!$L$45:$M$48,2,FALSE)</f>
        <v>#N/A</v>
      </c>
    </row>
    <row r="69" spans="1:27" x14ac:dyDescent="0.25">
      <c r="A69" s="62">
        <v>63</v>
      </c>
      <c r="B69" s="420" t="s">
        <v>73</v>
      </c>
      <c r="C69" s="226" t="str">
        <f>Wst_03</f>
        <v>Wst 03 Operational waste</v>
      </c>
      <c r="D69" s="209">
        <f>Wst03_credits</f>
        <v>1</v>
      </c>
      <c r="E69" s="72"/>
      <c r="F69" s="210">
        <f>Wst03_13</f>
        <v>0</v>
      </c>
      <c r="G69" s="224" t="str">
        <f>Wst03_10</f>
        <v>Very Good</v>
      </c>
      <c r="H69" s="117"/>
      <c r="I69" s="445"/>
      <c r="J69" s="448"/>
      <c r="K69" s="242"/>
      <c r="L69" s="76"/>
      <c r="M69" s="118"/>
      <c r="N69" s="117"/>
      <c r="O69" s="123"/>
      <c r="P69" s="120"/>
      <c r="Q69" s="241"/>
      <c r="R69" s="122"/>
      <c r="S69" s="118"/>
      <c r="T69" s="117"/>
      <c r="U69" s="123"/>
      <c r="V69" s="120"/>
      <c r="W69" s="421"/>
      <c r="X69" s="191">
        <f t="shared" si="1"/>
        <v>1</v>
      </c>
      <c r="Y69" s="3" t="e">
        <f>VLOOKUP(I69,'Assessment Details'!$L$45:$M$48,2,FALSE)</f>
        <v>#N/A</v>
      </c>
      <c r="Z69" s="3" t="e">
        <f>VLOOKUP(N69,'Assessment Details'!$L$45:$M$48,2,FALSE)</f>
        <v>#N/A</v>
      </c>
      <c r="AA69" s="3" t="e">
        <f>VLOOKUP(T69,'Assessment Details'!$L$45:$M$48,2,FALSE)</f>
        <v>#N/A</v>
      </c>
    </row>
    <row r="70" spans="1:27" x14ac:dyDescent="0.25">
      <c r="A70" s="62">
        <v>64</v>
      </c>
      <c r="B70" s="420" t="s">
        <v>73</v>
      </c>
      <c r="C70" s="226" t="str">
        <f>Wst_04</f>
        <v>Wst 04 Speculative floor and ceiling finishes</v>
      </c>
      <c r="D70" s="209">
        <f>Wst04_credits</f>
        <v>1</v>
      </c>
      <c r="E70" s="72"/>
      <c r="F70" s="210">
        <f>Wst04_09</f>
        <v>0</v>
      </c>
      <c r="G70" s="222" t="str">
        <f>Wst04_minstd</f>
        <v>N/A</v>
      </c>
      <c r="H70" s="117"/>
      <c r="I70" s="445"/>
      <c r="J70" s="448"/>
      <c r="K70" s="242"/>
      <c r="L70" s="76"/>
      <c r="M70" s="118"/>
      <c r="N70" s="117"/>
      <c r="O70" s="123"/>
      <c r="P70" s="120"/>
      <c r="Q70" s="241"/>
      <c r="R70" s="122"/>
      <c r="S70" s="118"/>
      <c r="T70" s="117"/>
      <c r="U70" s="123"/>
      <c r="V70" s="120"/>
      <c r="W70" s="421"/>
      <c r="X70" s="191">
        <f t="shared" si="1"/>
        <v>1</v>
      </c>
      <c r="Y70" s="1" t="e">
        <f>VLOOKUP(I70,'Assessment Details'!$L$45:$M$48,2,FALSE)</f>
        <v>#N/A</v>
      </c>
      <c r="Z70" s="1" t="e">
        <f>VLOOKUP(N70,'Assessment Details'!$L$45:$M$48,2,FALSE)</f>
        <v>#N/A</v>
      </c>
      <c r="AA70" s="1" t="e">
        <f>VLOOKUP(T70,'Assessment Details'!$L$45:$M$48,2,FALSE)</f>
        <v>#N/A</v>
      </c>
    </row>
    <row r="71" spans="1:27" ht="15.75" thickBot="1" x14ac:dyDescent="0.3">
      <c r="A71" s="62">
        <v>65</v>
      </c>
      <c r="B71" s="420" t="s">
        <v>73</v>
      </c>
      <c r="C71" s="411" t="s">
        <v>114</v>
      </c>
      <c r="D71" s="215">
        <f>Wst_Credits</f>
        <v>6</v>
      </c>
      <c r="E71" s="233"/>
      <c r="F71" s="216">
        <f>Wst_cont_tot</f>
        <v>0</v>
      </c>
      <c r="G71" s="217" t="str">
        <f>"Credits achieved: "&amp;Wst_tot_user</f>
        <v>Credits achieved: 0</v>
      </c>
      <c r="H71" s="243"/>
      <c r="I71" s="446"/>
      <c r="J71" s="449"/>
      <c r="K71" s="242"/>
      <c r="L71" s="244"/>
      <c r="M71" s="258"/>
      <c r="N71" s="259"/>
      <c r="O71" s="259"/>
      <c r="P71" s="260"/>
      <c r="Q71" s="241"/>
      <c r="R71" s="248"/>
      <c r="S71" s="258"/>
      <c r="T71" s="259"/>
      <c r="U71" s="259"/>
      <c r="V71" s="260"/>
      <c r="W71" s="421"/>
      <c r="X71" s="191">
        <f t="shared" si="1"/>
        <v>1</v>
      </c>
      <c r="Y71" s="438">
        <v>0</v>
      </c>
      <c r="Z71" s="438">
        <v>0</v>
      </c>
      <c r="AA71" s="438">
        <v>0</v>
      </c>
    </row>
    <row r="72" spans="1:27" x14ac:dyDescent="0.25">
      <c r="A72" s="62">
        <v>66</v>
      </c>
      <c r="B72" s="420" t="s">
        <v>73</v>
      </c>
      <c r="C72" s="412"/>
      <c r="D72" s="219"/>
      <c r="E72" s="234"/>
      <c r="F72" s="219"/>
      <c r="G72" s="219"/>
      <c r="H72" s="249"/>
      <c r="I72" s="234"/>
      <c r="J72" s="249"/>
      <c r="K72" s="240"/>
      <c r="L72" s="234"/>
      <c r="M72" s="249"/>
      <c r="N72" s="250"/>
      <c r="O72" s="250"/>
      <c r="P72" s="250"/>
      <c r="Q72" s="251"/>
      <c r="R72" s="250"/>
      <c r="S72" s="249"/>
      <c r="T72" s="250"/>
      <c r="U72" s="250"/>
      <c r="V72" s="250"/>
      <c r="W72" s="439"/>
      <c r="X72" s="191">
        <f t="shared" si="1"/>
        <v>1</v>
      </c>
      <c r="Y72" s="440">
        <v>0</v>
      </c>
      <c r="Z72" s="440">
        <v>0</v>
      </c>
      <c r="AA72" s="440">
        <v>0</v>
      </c>
    </row>
    <row r="73" spans="1:27" ht="18.75" customHeight="1" x14ac:dyDescent="0.3">
      <c r="A73" s="62">
        <v>67</v>
      </c>
      <c r="B73" s="420" t="s">
        <v>74</v>
      </c>
      <c r="C73" s="413" t="s">
        <v>61</v>
      </c>
      <c r="D73" s="207"/>
      <c r="E73" s="232"/>
      <c r="F73" s="225"/>
      <c r="G73" s="207"/>
      <c r="H73" s="252"/>
      <c r="I73" s="253"/>
      <c r="J73" s="451"/>
      <c r="K73" s="242"/>
      <c r="L73" s="261"/>
      <c r="M73" s="252"/>
      <c r="N73" s="262"/>
      <c r="O73" s="262"/>
      <c r="P73" s="263"/>
      <c r="Q73" s="241"/>
      <c r="R73" s="264"/>
      <c r="S73" s="252"/>
      <c r="T73" s="262"/>
      <c r="U73" s="262"/>
      <c r="V73" s="263"/>
      <c r="W73" s="421"/>
      <c r="X73" s="191">
        <f t="shared" ref="X73:X98" si="2">IF(D73="",1,IF(D73=0,2,1))</f>
        <v>1</v>
      </c>
      <c r="Y73" s="436">
        <v>0</v>
      </c>
      <c r="Z73" s="436">
        <v>0</v>
      </c>
      <c r="AA73" s="436">
        <v>0</v>
      </c>
    </row>
    <row r="74" spans="1:27" x14ac:dyDescent="0.25">
      <c r="A74" s="62">
        <v>68</v>
      </c>
      <c r="B74" s="420" t="s">
        <v>74</v>
      </c>
      <c r="C74" s="226" t="str">
        <f>LE_01</f>
        <v>LE 01 Site selection</v>
      </c>
      <c r="D74" s="209">
        <f>LE01_credits</f>
        <v>3</v>
      </c>
      <c r="E74" s="72"/>
      <c r="F74" s="210">
        <f>LE01_08</f>
        <v>0</v>
      </c>
      <c r="G74" s="224" t="str">
        <f>LE01_minstd</f>
        <v>N/A</v>
      </c>
      <c r="H74" s="117"/>
      <c r="I74" s="445"/>
      <c r="J74" s="448"/>
      <c r="K74" s="242"/>
      <c r="L74" s="76"/>
      <c r="M74" s="118"/>
      <c r="N74" s="117"/>
      <c r="O74" s="123"/>
      <c r="P74" s="120"/>
      <c r="Q74" s="241"/>
      <c r="R74" s="122"/>
      <c r="S74" s="118"/>
      <c r="T74" s="117"/>
      <c r="U74" s="123"/>
      <c r="V74" s="120"/>
      <c r="W74" s="421"/>
      <c r="X74" s="191">
        <f t="shared" si="2"/>
        <v>1</v>
      </c>
      <c r="Y74" s="1" t="e">
        <f>VLOOKUP(I74,'Assessment Details'!$L$45:$M$48,2,FALSE)</f>
        <v>#N/A</v>
      </c>
      <c r="Z74" s="1" t="e">
        <f>VLOOKUP(N74,'Assessment Details'!$L$45:$M$48,2,FALSE)</f>
        <v>#N/A</v>
      </c>
      <c r="AA74" s="1" t="e">
        <f>VLOOKUP(T74,'Assessment Details'!$L$45:$M$48,2,FALSE)</f>
        <v>#N/A</v>
      </c>
    </row>
    <row r="75" spans="1:27" ht="30" x14ac:dyDescent="0.25">
      <c r="A75" s="62">
        <v>69</v>
      </c>
      <c r="B75" s="420" t="s">
        <v>74</v>
      </c>
      <c r="C75" s="226" t="str">
        <f>LE_02</f>
        <v>LE 02 Ecological value of site and protection of ecological features</v>
      </c>
      <c r="D75" s="209">
        <f>LE02_credits</f>
        <v>2</v>
      </c>
      <c r="E75" s="72"/>
      <c r="F75" s="210">
        <f>LE02_08</f>
        <v>0</v>
      </c>
      <c r="G75" s="224" t="str">
        <f>LE02_minstd</f>
        <v>N/A</v>
      </c>
      <c r="H75" s="117"/>
      <c r="I75" s="445"/>
      <c r="J75" s="448"/>
      <c r="K75" s="242"/>
      <c r="L75" s="76"/>
      <c r="M75" s="118"/>
      <c r="N75" s="117"/>
      <c r="O75" s="123"/>
      <c r="P75" s="120"/>
      <c r="Q75" s="241"/>
      <c r="R75" s="122"/>
      <c r="S75" s="118"/>
      <c r="T75" s="117"/>
      <c r="U75" s="123"/>
      <c r="V75" s="120"/>
      <c r="W75" s="421"/>
      <c r="X75" s="191">
        <f t="shared" si="2"/>
        <v>1</v>
      </c>
      <c r="Y75" s="3" t="e">
        <f>VLOOKUP(I75,'Assessment Details'!$L$45:$M$48,2,FALSE)</f>
        <v>#N/A</v>
      </c>
      <c r="Z75" s="3" t="e">
        <f>VLOOKUP(N75,'Assessment Details'!$L$45:$M$48,2,FALSE)</f>
        <v>#N/A</v>
      </c>
      <c r="AA75" s="3" t="e">
        <f>VLOOKUP(T75,'Assessment Details'!$L$45:$M$48,2,FALSE)</f>
        <v>#N/A</v>
      </c>
    </row>
    <row r="76" spans="1:27" x14ac:dyDescent="0.25">
      <c r="A76" s="62">
        <v>70</v>
      </c>
      <c r="B76" s="420" t="s">
        <v>74</v>
      </c>
      <c r="C76" s="208" t="str">
        <f>LE_04</f>
        <v>LE 04 Enhancing site ecology</v>
      </c>
      <c r="D76" s="209">
        <f>LE04_credits</f>
        <v>3</v>
      </c>
      <c r="E76" s="72"/>
      <c r="F76" s="210">
        <f>LE04_14</f>
        <v>0</v>
      </c>
      <c r="G76" s="224" t="str">
        <f>LE03_minstd</f>
        <v>N/A</v>
      </c>
      <c r="H76" s="117"/>
      <c r="I76" s="445"/>
      <c r="J76" s="448"/>
      <c r="K76" s="242"/>
      <c r="L76" s="76"/>
      <c r="M76" s="118"/>
      <c r="N76" s="117"/>
      <c r="O76" s="123"/>
      <c r="P76" s="120"/>
      <c r="Q76" s="241"/>
      <c r="R76" s="122"/>
      <c r="S76" s="118"/>
      <c r="T76" s="117"/>
      <c r="U76" s="123"/>
      <c r="V76" s="120"/>
      <c r="W76" s="421"/>
      <c r="X76" s="191">
        <f t="shared" si="2"/>
        <v>1</v>
      </c>
      <c r="Y76" s="1" t="e">
        <f>VLOOKUP(I76,'Assessment Details'!$L$45:$M$48,2,FALSE)</f>
        <v>#N/A</v>
      </c>
      <c r="Z76" s="1" t="e">
        <f>VLOOKUP(N76,'Assessment Details'!$L$45:$M$48,2,FALSE)</f>
        <v>#N/A</v>
      </c>
      <c r="AA76" s="1" t="e">
        <f>VLOOKUP(T76,'Assessment Details'!$L$45:$M$48,2,FALSE)</f>
        <v>#N/A</v>
      </c>
    </row>
    <row r="77" spans="1:27" x14ac:dyDescent="0.25">
      <c r="A77" s="62">
        <v>71</v>
      </c>
      <c r="B77" s="420" t="s">
        <v>74</v>
      </c>
      <c r="C77" s="208" t="str">
        <f>LE_05</f>
        <v>LE 05 Long term impact on biodiversity</v>
      </c>
      <c r="D77" s="209">
        <f>LE05_credits</f>
        <v>2</v>
      </c>
      <c r="E77" s="72"/>
      <c r="F77" s="210">
        <f>LE05_15</f>
        <v>0</v>
      </c>
      <c r="G77" s="224" t="str">
        <f>LE05_minstd</f>
        <v>N/A</v>
      </c>
      <c r="H77" s="117"/>
      <c r="I77" s="445"/>
      <c r="J77" s="448"/>
      <c r="K77" s="242"/>
      <c r="L77" s="76"/>
      <c r="M77" s="118"/>
      <c r="N77" s="117"/>
      <c r="O77" s="123"/>
      <c r="P77" s="120"/>
      <c r="Q77" s="241"/>
      <c r="R77" s="122"/>
      <c r="S77" s="118"/>
      <c r="T77" s="117"/>
      <c r="U77" s="123"/>
      <c r="V77" s="120"/>
      <c r="W77" s="421"/>
      <c r="X77" s="191">
        <f t="shared" si="2"/>
        <v>1</v>
      </c>
      <c r="Y77" s="1" t="e">
        <f>VLOOKUP(I77,'Assessment Details'!$L$45:$M$48,2,FALSE)</f>
        <v>#N/A</v>
      </c>
      <c r="Z77" s="1" t="e">
        <f>VLOOKUP(N77,'Assessment Details'!$L$45:$M$48,2,FALSE)</f>
        <v>#N/A</v>
      </c>
      <c r="AA77" s="1" t="e">
        <f>VLOOKUP(T77,'Assessment Details'!$L$45:$M$48,2,FALSE)</f>
        <v>#N/A</v>
      </c>
    </row>
    <row r="78" spans="1:27" x14ac:dyDescent="0.25">
      <c r="A78" s="62">
        <v>72</v>
      </c>
      <c r="B78" s="420" t="s">
        <v>74</v>
      </c>
      <c r="C78" s="208" t="str">
        <f>LE_06</f>
        <v>LE 06 Building footprint</v>
      </c>
      <c r="D78" s="209">
        <f>LE06_credits</f>
        <v>0</v>
      </c>
      <c r="E78" s="72"/>
      <c r="F78" s="210">
        <f>LE06_contr</f>
        <v>0</v>
      </c>
      <c r="G78" s="224" t="str">
        <f>LE06_minstd</f>
        <v>N/A</v>
      </c>
      <c r="H78" s="117"/>
      <c r="I78" s="445"/>
      <c r="J78" s="448"/>
      <c r="K78" s="242"/>
      <c r="L78" s="76"/>
      <c r="M78" s="118"/>
      <c r="N78" s="117"/>
      <c r="O78" s="123"/>
      <c r="P78" s="120"/>
      <c r="Q78" s="241"/>
      <c r="R78" s="122"/>
      <c r="S78" s="118"/>
      <c r="T78" s="117"/>
      <c r="U78" s="123"/>
      <c r="V78" s="120"/>
      <c r="W78" s="421"/>
      <c r="X78" s="191">
        <f t="shared" si="2"/>
        <v>2</v>
      </c>
      <c r="Y78" s="3" t="e">
        <f>VLOOKUP(I78,'Assessment Details'!$L$45:$M$48,2,FALSE)</f>
        <v>#N/A</v>
      </c>
      <c r="Z78" s="3" t="e">
        <f>VLOOKUP(N78,'Assessment Details'!$L$45:$M$48,2,FALSE)</f>
        <v>#N/A</v>
      </c>
      <c r="AA78" s="3" t="e">
        <f>VLOOKUP(T78,'Assessment Details'!$L$45:$M$48,2,FALSE)</f>
        <v>#N/A</v>
      </c>
    </row>
    <row r="79" spans="1:27" ht="15.75" thickBot="1" x14ac:dyDescent="0.3">
      <c r="A79" s="62">
        <v>73</v>
      </c>
      <c r="B79" s="420" t="s">
        <v>74</v>
      </c>
      <c r="C79" s="214" t="s">
        <v>115</v>
      </c>
      <c r="D79" s="215">
        <f>LE_Credits</f>
        <v>10</v>
      </c>
      <c r="E79" s="233"/>
      <c r="F79" s="216">
        <f>LE_cont_tot</f>
        <v>0</v>
      </c>
      <c r="G79" s="217" t="str">
        <f>"Credits achieved: "&amp;Lue_tot_user</f>
        <v>Credits achieved: 0</v>
      </c>
      <c r="H79" s="243"/>
      <c r="I79" s="446"/>
      <c r="J79" s="449"/>
      <c r="K79" s="242"/>
      <c r="L79" s="244"/>
      <c r="M79" s="258"/>
      <c r="N79" s="259"/>
      <c r="O79" s="259"/>
      <c r="P79" s="260"/>
      <c r="Q79" s="241"/>
      <c r="R79" s="248"/>
      <c r="S79" s="258"/>
      <c r="T79" s="259"/>
      <c r="U79" s="259"/>
      <c r="V79" s="260"/>
      <c r="W79" s="421"/>
      <c r="X79" s="191">
        <f t="shared" si="2"/>
        <v>1</v>
      </c>
      <c r="Y79" s="438">
        <v>0</v>
      </c>
      <c r="Z79" s="438">
        <v>0</v>
      </c>
      <c r="AA79" s="438">
        <v>0</v>
      </c>
    </row>
    <row r="80" spans="1:27" ht="15" customHeight="1" x14ac:dyDescent="0.25">
      <c r="A80" s="62">
        <v>74</v>
      </c>
      <c r="B80" s="420" t="s">
        <v>74</v>
      </c>
      <c r="C80" s="218"/>
      <c r="D80" s="219"/>
      <c r="E80" s="234"/>
      <c r="F80" s="219"/>
      <c r="G80" s="219"/>
      <c r="H80" s="249"/>
      <c r="I80" s="234"/>
      <c r="J80" s="249"/>
      <c r="K80" s="240"/>
      <c r="L80" s="234"/>
      <c r="M80" s="249"/>
      <c r="N80" s="250"/>
      <c r="O80" s="250"/>
      <c r="P80" s="250"/>
      <c r="Q80" s="251"/>
      <c r="R80" s="250"/>
      <c r="S80" s="249"/>
      <c r="T80" s="250"/>
      <c r="U80" s="250"/>
      <c r="V80" s="250"/>
      <c r="W80" s="439"/>
      <c r="X80" s="191">
        <f t="shared" si="2"/>
        <v>1</v>
      </c>
      <c r="Y80" s="440">
        <v>0</v>
      </c>
      <c r="Z80" s="440">
        <v>0</v>
      </c>
      <c r="AA80" s="440">
        <v>0</v>
      </c>
    </row>
    <row r="81" spans="1:27" ht="18.75" customHeight="1" x14ac:dyDescent="0.3">
      <c r="A81" s="62">
        <v>75</v>
      </c>
      <c r="B81" s="420" t="s">
        <v>75</v>
      </c>
      <c r="C81" s="220" t="s">
        <v>62</v>
      </c>
      <c r="D81" s="207"/>
      <c r="E81" s="232"/>
      <c r="F81" s="225"/>
      <c r="G81" s="207"/>
      <c r="H81" s="252"/>
      <c r="I81" s="253"/>
      <c r="J81" s="451"/>
      <c r="K81" s="242"/>
      <c r="L81" s="261"/>
      <c r="M81" s="252"/>
      <c r="N81" s="262"/>
      <c r="O81" s="262"/>
      <c r="P81" s="263"/>
      <c r="Q81" s="241"/>
      <c r="R81" s="264"/>
      <c r="S81" s="252"/>
      <c r="T81" s="262"/>
      <c r="U81" s="262"/>
      <c r="V81" s="263"/>
      <c r="W81" s="421"/>
      <c r="X81" s="191">
        <f t="shared" si="2"/>
        <v>1</v>
      </c>
      <c r="Y81" s="436">
        <v>0</v>
      </c>
      <c r="Z81" s="436">
        <v>0</v>
      </c>
      <c r="AA81" s="436">
        <v>0</v>
      </c>
    </row>
    <row r="82" spans="1:27" ht="15" customHeight="1" x14ac:dyDescent="0.25">
      <c r="A82" s="62">
        <v>76</v>
      </c>
      <c r="B82" s="420" t="s">
        <v>75</v>
      </c>
      <c r="C82" s="208" t="str">
        <f>Pol_01</f>
        <v>POL 01 Impacts of refrigerants</v>
      </c>
      <c r="D82" s="209">
        <f>Pol01_credits</f>
        <v>3</v>
      </c>
      <c r="E82" s="72"/>
      <c r="F82" s="210">
        <f>Pol01_20</f>
        <v>0</v>
      </c>
      <c r="G82" s="224" t="str">
        <f>Pol01_minstd</f>
        <v>N/A</v>
      </c>
      <c r="H82" s="117"/>
      <c r="I82" s="445"/>
      <c r="J82" s="448"/>
      <c r="K82" s="242"/>
      <c r="L82" s="76"/>
      <c r="M82" s="118"/>
      <c r="N82" s="117"/>
      <c r="O82" s="123"/>
      <c r="P82" s="120"/>
      <c r="Q82" s="241"/>
      <c r="R82" s="122"/>
      <c r="S82" s="118"/>
      <c r="T82" s="117"/>
      <c r="U82" s="123"/>
      <c r="V82" s="120"/>
      <c r="W82" s="421"/>
      <c r="X82" s="191">
        <f t="shared" si="2"/>
        <v>1</v>
      </c>
      <c r="Y82" s="3" t="e">
        <f>VLOOKUP(I82,'Assessment Details'!$L$45:$M$48,2,FALSE)</f>
        <v>#N/A</v>
      </c>
      <c r="Z82" s="3" t="e">
        <f>VLOOKUP(N82,'Assessment Details'!$L$45:$M$48,2,FALSE)</f>
        <v>#N/A</v>
      </c>
      <c r="AA82" s="3" t="e">
        <f>VLOOKUP(T82,'Assessment Details'!$L$45:$M$48,2,FALSE)</f>
        <v>#N/A</v>
      </c>
    </row>
    <row r="83" spans="1:27" ht="15" customHeight="1" x14ac:dyDescent="0.25">
      <c r="A83" s="62">
        <v>77</v>
      </c>
      <c r="B83" s="420" t="s">
        <v>75</v>
      </c>
      <c r="C83" s="208" t="str">
        <f>Pol_02</f>
        <v>POL 02 Nox emissions</v>
      </c>
      <c r="D83" s="518">
        <f>Pol02_credits</f>
        <v>3</v>
      </c>
      <c r="E83" s="72"/>
      <c r="F83" s="210">
        <f>Pol02_27</f>
        <v>0</v>
      </c>
      <c r="G83" s="224" t="str">
        <f>Pol02_minstd</f>
        <v>N/A</v>
      </c>
      <c r="H83" s="117"/>
      <c r="I83" s="445"/>
      <c r="J83" s="448"/>
      <c r="K83" s="242"/>
      <c r="L83" s="76"/>
      <c r="M83" s="118"/>
      <c r="N83" s="117"/>
      <c r="O83" s="123"/>
      <c r="P83" s="120"/>
      <c r="Q83" s="241"/>
      <c r="R83" s="122"/>
      <c r="S83" s="118"/>
      <c r="T83" s="117"/>
      <c r="U83" s="123"/>
      <c r="V83" s="120"/>
      <c r="W83" s="421"/>
      <c r="X83" s="191">
        <f t="shared" si="2"/>
        <v>1</v>
      </c>
      <c r="Y83" s="3" t="e">
        <f>VLOOKUP(I83,'Assessment Details'!$L$45:$M$48,2,FALSE)</f>
        <v>#N/A</v>
      </c>
      <c r="Z83" s="3" t="e">
        <f>VLOOKUP(N83,'Assessment Details'!$L$45:$M$48,2,FALSE)</f>
        <v>#N/A</v>
      </c>
      <c r="AA83" s="3" t="e">
        <f>VLOOKUP(T83,'Assessment Details'!$L$45:$M$48,2,FALSE)</f>
        <v>#N/A</v>
      </c>
    </row>
    <row r="84" spans="1:27" ht="15" customHeight="1" x14ac:dyDescent="0.25">
      <c r="A84" s="62">
        <v>78</v>
      </c>
      <c r="B84" s="420" t="s">
        <v>75</v>
      </c>
      <c r="C84" s="208" t="str">
        <f>Pol_03</f>
        <v>POL 03 Surface water run-off</v>
      </c>
      <c r="D84" s="209">
        <f>Pol03_credits</f>
        <v>5</v>
      </c>
      <c r="E84" s="72"/>
      <c r="F84" s="210">
        <f>Pol03_15</f>
        <v>0</v>
      </c>
      <c r="G84" s="224" t="str">
        <f>Pol03_minstd</f>
        <v>N/A</v>
      </c>
      <c r="H84" s="117"/>
      <c r="I84" s="445"/>
      <c r="J84" s="448"/>
      <c r="K84" s="242"/>
      <c r="L84" s="76"/>
      <c r="M84" s="118"/>
      <c r="N84" s="117"/>
      <c r="O84" s="123"/>
      <c r="P84" s="120"/>
      <c r="Q84" s="241"/>
      <c r="R84" s="122"/>
      <c r="S84" s="118"/>
      <c r="T84" s="117"/>
      <c r="U84" s="123"/>
      <c r="V84" s="120"/>
      <c r="W84" s="421"/>
      <c r="X84" s="191">
        <f t="shared" si="2"/>
        <v>1</v>
      </c>
      <c r="Y84" s="3" t="e">
        <f>VLOOKUP(I84,'Assessment Details'!$L$45:$M$48,2,FALSE)</f>
        <v>#N/A</v>
      </c>
      <c r="Z84" s="3" t="e">
        <f>VLOOKUP(N84,'Assessment Details'!$L$45:$M$48,2,FALSE)</f>
        <v>#N/A</v>
      </c>
      <c r="AA84" s="3" t="e">
        <f>VLOOKUP(T84,'Assessment Details'!$L$45:$M$48,2,FALSE)</f>
        <v>#N/A</v>
      </c>
    </row>
    <row r="85" spans="1:27" ht="15" customHeight="1" x14ac:dyDescent="0.25">
      <c r="A85" s="62">
        <v>79</v>
      </c>
      <c r="B85" s="420" t="s">
        <v>75</v>
      </c>
      <c r="C85" s="208" t="str">
        <f>Pol_04</f>
        <v>POL 04 Reduction of night time light pollution</v>
      </c>
      <c r="D85" s="209">
        <f>Pol04_credits</f>
        <v>1</v>
      </c>
      <c r="E85" s="72"/>
      <c r="F85" s="210">
        <f>Pol04_06</f>
        <v>0</v>
      </c>
      <c r="G85" s="224" t="str">
        <f>Pol04_minstd</f>
        <v>N/A</v>
      </c>
      <c r="H85" s="117"/>
      <c r="I85" s="445"/>
      <c r="J85" s="448"/>
      <c r="K85" s="242"/>
      <c r="L85" s="76"/>
      <c r="M85" s="118"/>
      <c r="N85" s="117"/>
      <c r="O85" s="123"/>
      <c r="P85" s="120"/>
      <c r="Q85" s="241"/>
      <c r="R85" s="122"/>
      <c r="S85" s="118"/>
      <c r="T85" s="117"/>
      <c r="U85" s="123"/>
      <c r="V85" s="120"/>
      <c r="W85" s="421"/>
      <c r="X85" s="191">
        <f t="shared" si="2"/>
        <v>1</v>
      </c>
      <c r="Y85" s="1" t="e">
        <f>VLOOKUP(I85,'Assessment Details'!$L$45:$M$48,2,FALSE)</f>
        <v>#N/A</v>
      </c>
      <c r="Z85" s="1" t="e">
        <f>VLOOKUP(N85,'Assessment Details'!$L$45:$M$48,2,FALSE)</f>
        <v>#N/A</v>
      </c>
      <c r="AA85" s="1" t="e">
        <f>VLOOKUP(T85,'Assessment Details'!$L$45:$M$48,2,FALSE)</f>
        <v>#N/A</v>
      </c>
    </row>
    <row r="86" spans="1:27" ht="15" customHeight="1" x14ac:dyDescent="0.25">
      <c r="A86" s="62">
        <v>80</v>
      </c>
      <c r="B86" s="420" t="s">
        <v>75</v>
      </c>
      <c r="C86" s="208" t="str">
        <f>Pol_05</f>
        <v>POL 05 Noise attenuation</v>
      </c>
      <c r="D86" s="209">
        <f>Pol05_credits</f>
        <v>1</v>
      </c>
      <c r="E86" s="72"/>
      <c r="F86" s="210">
        <f>Pol05_11</f>
        <v>0</v>
      </c>
      <c r="G86" s="224" t="str">
        <f>Pol05_minstd</f>
        <v>N/A</v>
      </c>
      <c r="H86" s="117"/>
      <c r="I86" s="445"/>
      <c r="J86" s="448"/>
      <c r="K86" s="242"/>
      <c r="L86" s="76"/>
      <c r="M86" s="118"/>
      <c r="N86" s="117"/>
      <c r="O86" s="123"/>
      <c r="P86" s="120"/>
      <c r="Q86" s="241"/>
      <c r="R86" s="122"/>
      <c r="S86" s="118"/>
      <c r="T86" s="117"/>
      <c r="U86" s="123"/>
      <c r="V86" s="120"/>
      <c r="W86" s="421"/>
      <c r="X86" s="191">
        <f t="shared" si="2"/>
        <v>1</v>
      </c>
      <c r="Y86" s="3" t="e">
        <f>VLOOKUP(I86,'Assessment Details'!$L$45:$M$48,2,FALSE)</f>
        <v>#N/A</v>
      </c>
      <c r="Z86" s="3" t="e">
        <f>VLOOKUP(N86,'Assessment Details'!$L$45:$M$48,2,FALSE)</f>
        <v>#N/A</v>
      </c>
      <c r="AA86" s="3" t="e">
        <f>VLOOKUP(T86,'Assessment Details'!$L$45:$M$48,2,FALSE)</f>
        <v>#N/A</v>
      </c>
    </row>
    <row r="87" spans="1:27" ht="15.75" customHeight="1" thickBot="1" x14ac:dyDescent="0.3">
      <c r="A87" s="62">
        <v>81</v>
      </c>
      <c r="B87" s="420" t="s">
        <v>75</v>
      </c>
      <c r="C87" s="214" t="s">
        <v>116</v>
      </c>
      <c r="D87" s="215">
        <f>Pol_Credits</f>
        <v>13</v>
      </c>
      <c r="E87" s="233"/>
      <c r="F87" s="216">
        <f>Pol_cont_tot</f>
        <v>0</v>
      </c>
      <c r="G87" s="217" t="str">
        <f>"Credits achieved: "&amp;Pol_tot_user</f>
        <v>Credits achieved: 0</v>
      </c>
      <c r="H87" s="243"/>
      <c r="I87" s="446"/>
      <c r="J87" s="449"/>
      <c r="K87" s="242"/>
      <c r="L87" s="244"/>
      <c r="M87" s="258"/>
      <c r="N87" s="259"/>
      <c r="O87" s="259"/>
      <c r="P87" s="260"/>
      <c r="Q87" s="241"/>
      <c r="R87" s="248"/>
      <c r="S87" s="258"/>
      <c r="T87" s="259"/>
      <c r="U87" s="259"/>
      <c r="V87" s="260"/>
      <c r="W87" s="421"/>
      <c r="X87" s="191">
        <f t="shared" si="2"/>
        <v>1</v>
      </c>
      <c r="Y87" s="438">
        <v>0</v>
      </c>
      <c r="Z87" s="438">
        <v>0</v>
      </c>
      <c r="AA87" s="438">
        <v>0</v>
      </c>
    </row>
    <row r="88" spans="1:27" ht="15" customHeight="1" x14ac:dyDescent="0.25">
      <c r="A88" s="62">
        <v>82</v>
      </c>
      <c r="B88" s="420" t="s">
        <v>75</v>
      </c>
      <c r="C88" s="218"/>
      <c r="D88" s="219"/>
      <c r="E88" s="234"/>
      <c r="F88" s="219"/>
      <c r="G88" s="219"/>
      <c r="H88" s="249"/>
      <c r="I88" s="234"/>
      <c r="J88" s="249"/>
      <c r="K88" s="240"/>
      <c r="L88" s="234"/>
      <c r="M88" s="249"/>
      <c r="N88" s="250"/>
      <c r="O88" s="250"/>
      <c r="P88" s="250"/>
      <c r="Q88" s="251"/>
      <c r="R88" s="250"/>
      <c r="S88" s="249"/>
      <c r="T88" s="250"/>
      <c r="U88" s="250"/>
      <c r="V88" s="250"/>
      <c r="W88" s="439"/>
      <c r="X88" s="191">
        <f t="shared" si="2"/>
        <v>1</v>
      </c>
      <c r="Y88" s="440">
        <v>0</v>
      </c>
      <c r="Z88" s="440">
        <v>0</v>
      </c>
      <c r="AA88" s="440">
        <v>0</v>
      </c>
    </row>
    <row r="89" spans="1:27" ht="18.75" customHeight="1" x14ac:dyDescent="0.3">
      <c r="A89" s="62">
        <v>83</v>
      </c>
      <c r="B89" s="420" t="s">
        <v>235</v>
      </c>
      <c r="C89" s="220" t="s">
        <v>274</v>
      </c>
      <c r="D89" s="207"/>
      <c r="E89" s="232"/>
      <c r="F89" s="225"/>
      <c r="G89" s="207"/>
      <c r="H89" s="252"/>
      <c r="I89" s="253"/>
      <c r="J89" s="451"/>
      <c r="K89" s="242"/>
      <c r="L89" s="261"/>
      <c r="M89" s="252"/>
      <c r="N89" s="262"/>
      <c r="O89" s="262"/>
      <c r="P89" s="263"/>
      <c r="Q89" s="241"/>
      <c r="R89" s="264"/>
      <c r="S89" s="252"/>
      <c r="T89" s="262"/>
      <c r="U89" s="262"/>
      <c r="V89" s="263"/>
      <c r="W89" s="421"/>
      <c r="X89" s="191">
        <f t="shared" si="2"/>
        <v>1</v>
      </c>
      <c r="Y89" s="436">
        <v>0</v>
      </c>
      <c r="Z89" s="436">
        <v>0</v>
      </c>
      <c r="AA89" s="436">
        <v>0</v>
      </c>
    </row>
    <row r="90" spans="1:27" ht="15" customHeight="1" x14ac:dyDescent="0.25">
      <c r="A90" s="62">
        <v>84</v>
      </c>
      <c r="B90" s="420" t="s">
        <v>235</v>
      </c>
      <c r="C90" s="226" t="str">
        <f>Inn_01</f>
        <v>Inn 01 - Man 05 Aftercare</v>
      </c>
      <c r="D90" s="209">
        <f>Inn01_credits</f>
        <v>1</v>
      </c>
      <c r="E90" s="72"/>
      <c r="F90" s="210">
        <f>Inn01_cont</f>
        <v>0</v>
      </c>
      <c r="G90" s="224" t="str">
        <f>Inn01_minstd</f>
        <v>N/A</v>
      </c>
      <c r="H90" s="117"/>
      <c r="I90" s="445"/>
      <c r="J90" s="448"/>
      <c r="K90" s="242"/>
      <c r="L90" s="76"/>
      <c r="M90" s="118"/>
      <c r="N90" s="117"/>
      <c r="O90" s="123"/>
      <c r="P90" s="120"/>
      <c r="Q90" s="241"/>
      <c r="R90" s="122"/>
      <c r="S90" s="118"/>
      <c r="T90" s="117"/>
      <c r="U90" s="123"/>
      <c r="V90" s="120"/>
      <c r="W90" s="421"/>
      <c r="X90" s="191">
        <f t="shared" si="2"/>
        <v>1</v>
      </c>
      <c r="Y90" s="3" t="e">
        <f>VLOOKUP(I90,'Assessment Details'!$L$45:$M$48,2,FALSE)</f>
        <v>#N/A</v>
      </c>
      <c r="Z90" s="3" t="e">
        <f>VLOOKUP(N90,'Assessment Details'!$L$45:$M$48,2,FALSE)</f>
        <v>#N/A</v>
      </c>
      <c r="AA90" s="3" t="e">
        <f>VLOOKUP(T90,'Assessment Details'!$L$45:$M$48,2,FALSE)</f>
        <v>#N/A</v>
      </c>
    </row>
    <row r="91" spans="1:27" ht="15" customHeight="1" x14ac:dyDescent="0.25">
      <c r="A91" s="62">
        <v>85</v>
      </c>
      <c r="B91" s="420" t="s">
        <v>235</v>
      </c>
      <c r="C91" s="226" t="str">
        <f>Inn_02</f>
        <v>Inn 02 - Hea 02 Indoor air quality</v>
      </c>
      <c r="D91" s="209">
        <f>Inn02_credits</f>
        <v>1</v>
      </c>
      <c r="E91" s="72"/>
      <c r="F91" s="210">
        <f>Inn02_cont</f>
        <v>0</v>
      </c>
      <c r="G91" s="224" t="str">
        <f>Inn02_minstd</f>
        <v>N/A</v>
      </c>
      <c r="H91" s="117"/>
      <c r="I91" s="445"/>
      <c r="J91" s="448"/>
      <c r="K91" s="242"/>
      <c r="L91" s="76"/>
      <c r="M91" s="118"/>
      <c r="N91" s="117"/>
      <c r="O91" s="123"/>
      <c r="P91" s="120"/>
      <c r="Q91" s="241"/>
      <c r="R91" s="122"/>
      <c r="S91" s="118"/>
      <c r="T91" s="117"/>
      <c r="U91" s="123"/>
      <c r="V91" s="120"/>
      <c r="W91" s="421"/>
      <c r="X91" s="191">
        <f t="shared" si="2"/>
        <v>1</v>
      </c>
      <c r="Y91" s="3" t="e">
        <f>VLOOKUP(I91,'Assessment Details'!$L$45:$M$48,2,FALSE)</f>
        <v>#N/A</v>
      </c>
      <c r="Z91" s="3" t="e">
        <f>VLOOKUP(N91,'Assessment Details'!$L$45:$M$48,2,FALSE)</f>
        <v>#N/A</v>
      </c>
      <c r="AA91" s="3" t="e">
        <f>VLOOKUP(T91,'Assessment Details'!$L$45:$M$48,2,FALSE)</f>
        <v>#N/A</v>
      </c>
    </row>
    <row r="92" spans="1:27" ht="15" customHeight="1" x14ac:dyDescent="0.25">
      <c r="A92" s="62">
        <v>86</v>
      </c>
      <c r="B92" s="420" t="s">
        <v>235</v>
      </c>
      <c r="C92" s="226" t="str">
        <f>Inn_03</f>
        <v>Inn 03 - Tra 03 Alternative modes of transport</v>
      </c>
      <c r="D92" s="209">
        <f>Inn03_credits</f>
        <v>1</v>
      </c>
      <c r="E92" s="72"/>
      <c r="F92" s="210">
        <f>Inn03_cont</f>
        <v>0</v>
      </c>
      <c r="G92" s="224" t="str">
        <f>Inn03_minstd</f>
        <v>N/A</v>
      </c>
      <c r="H92" s="117"/>
      <c r="I92" s="445"/>
      <c r="J92" s="448"/>
      <c r="K92" s="242"/>
      <c r="L92" s="76"/>
      <c r="M92" s="118"/>
      <c r="N92" s="117"/>
      <c r="O92" s="123"/>
      <c r="P92" s="120"/>
      <c r="Q92" s="241"/>
      <c r="R92" s="122"/>
      <c r="S92" s="118"/>
      <c r="T92" s="117"/>
      <c r="U92" s="123"/>
      <c r="V92" s="120"/>
      <c r="W92" s="421"/>
      <c r="X92" s="191">
        <f t="shared" si="2"/>
        <v>1</v>
      </c>
      <c r="Y92" s="3" t="e">
        <f>VLOOKUP(I92,'Assessment Details'!$L$45:$M$48,2,FALSE)</f>
        <v>#N/A</v>
      </c>
      <c r="Z92" s="3" t="e">
        <f>VLOOKUP(N92,'Assessment Details'!$L$45:$M$48,2,FALSE)</f>
        <v>#N/A</v>
      </c>
      <c r="AA92" s="3" t="e">
        <f>VLOOKUP(T92,'Assessment Details'!$L$45:$M$48,2,FALSE)</f>
        <v>#N/A</v>
      </c>
    </row>
    <row r="93" spans="1:27" ht="15" customHeight="1" x14ac:dyDescent="0.25">
      <c r="A93" s="62">
        <v>87</v>
      </c>
      <c r="B93" s="420" t="s">
        <v>235</v>
      </c>
      <c r="C93" s="226" t="str">
        <f>Inn_04</f>
        <v>Inn 04 - Wat 01 Water consumption</v>
      </c>
      <c r="D93" s="209">
        <f>Inn04_credits</f>
        <v>1</v>
      </c>
      <c r="E93" s="72"/>
      <c r="F93" s="210">
        <f>Inn04_cont</f>
        <v>0</v>
      </c>
      <c r="G93" s="224" t="str">
        <f>Inn04_minstd</f>
        <v>N/A</v>
      </c>
      <c r="H93" s="117"/>
      <c r="I93" s="445"/>
      <c r="J93" s="448"/>
      <c r="K93" s="242"/>
      <c r="L93" s="76"/>
      <c r="M93" s="118"/>
      <c r="N93" s="117"/>
      <c r="O93" s="123"/>
      <c r="P93" s="120"/>
      <c r="Q93" s="241"/>
      <c r="R93" s="122"/>
      <c r="S93" s="118"/>
      <c r="T93" s="117"/>
      <c r="U93" s="123"/>
      <c r="V93" s="120"/>
      <c r="W93" s="421"/>
      <c r="X93" s="191">
        <f t="shared" si="2"/>
        <v>1</v>
      </c>
      <c r="Y93" s="3" t="e">
        <f>VLOOKUP(I93,'Assessment Details'!$L$45:$M$48,2,FALSE)</f>
        <v>#N/A</v>
      </c>
      <c r="Z93" s="3" t="e">
        <f>VLOOKUP(N93,'Assessment Details'!$L$45:$M$48,2,FALSE)</f>
        <v>#N/A</v>
      </c>
      <c r="AA93" s="3" t="e">
        <f>VLOOKUP(T93,'Assessment Details'!$L$45:$M$48,2,FALSE)</f>
        <v>#N/A</v>
      </c>
    </row>
    <row r="94" spans="1:27" ht="30" customHeight="1" x14ac:dyDescent="0.25">
      <c r="A94" s="62">
        <v>88</v>
      </c>
      <c r="B94" s="420" t="s">
        <v>235</v>
      </c>
      <c r="C94" s="226" t="str">
        <f>Inn_05</f>
        <v>Inn 05 - Mat 01 Life cycle impacts</v>
      </c>
      <c r="D94" s="209">
        <f>Inn05_credits</f>
        <v>2</v>
      </c>
      <c r="E94" s="72"/>
      <c r="F94" s="210">
        <f>Inn05_cont</f>
        <v>0</v>
      </c>
      <c r="G94" s="224" t="str">
        <f>Inn05_minstd</f>
        <v>N/A</v>
      </c>
      <c r="H94" s="117"/>
      <c r="I94" s="445"/>
      <c r="J94" s="448"/>
      <c r="K94" s="242"/>
      <c r="L94" s="76"/>
      <c r="M94" s="118"/>
      <c r="N94" s="117"/>
      <c r="O94" s="123"/>
      <c r="P94" s="120"/>
      <c r="Q94" s="241"/>
      <c r="R94" s="122"/>
      <c r="S94" s="118"/>
      <c r="T94" s="117"/>
      <c r="U94" s="123"/>
      <c r="V94" s="120"/>
      <c r="W94" s="421"/>
      <c r="X94" s="191">
        <f t="shared" si="2"/>
        <v>1</v>
      </c>
      <c r="Y94" s="1" t="e">
        <f>VLOOKUP(I94,'Assessment Details'!$L$45:$M$48,2,FALSE)</f>
        <v>#N/A</v>
      </c>
      <c r="Z94" s="1" t="e">
        <f>VLOOKUP(N94,'Assessment Details'!$L$45:$M$48,2,FALSE)</f>
        <v>#N/A</v>
      </c>
      <c r="AA94" s="1" t="e">
        <f>VLOOKUP(T94,'Assessment Details'!$L$45:$M$48,2,FALSE)</f>
        <v>#N/A</v>
      </c>
    </row>
    <row r="95" spans="1:27" ht="30" x14ac:dyDescent="0.25">
      <c r="A95" s="62">
        <v>89</v>
      </c>
      <c r="B95" s="420" t="s">
        <v>235</v>
      </c>
      <c r="C95" s="226" t="str">
        <f>Inn_06</f>
        <v>Inn 06 - Mat 03 Responsible sourcing of materials</v>
      </c>
      <c r="D95" s="209">
        <f>Inn06_credits</f>
        <v>1</v>
      </c>
      <c r="E95" s="72"/>
      <c r="F95" s="210">
        <f>Inn06_cont</f>
        <v>0</v>
      </c>
      <c r="G95" s="224" t="str">
        <f>Inn06_minstd</f>
        <v>N/A</v>
      </c>
      <c r="H95" s="117"/>
      <c r="I95" s="445"/>
      <c r="J95" s="448"/>
      <c r="K95" s="242"/>
      <c r="L95" s="76"/>
      <c r="M95" s="118"/>
      <c r="N95" s="117"/>
      <c r="O95" s="123"/>
      <c r="P95" s="120"/>
      <c r="Q95" s="241"/>
      <c r="R95" s="122"/>
      <c r="S95" s="118"/>
      <c r="T95" s="117"/>
      <c r="U95" s="123"/>
      <c r="V95" s="120"/>
      <c r="W95" s="421"/>
      <c r="X95" s="191">
        <f t="shared" si="2"/>
        <v>1</v>
      </c>
      <c r="Y95" s="1" t="e">
        <f>VLOOKUP(I95,'Assessment Details'!$L$45:$M$48,2,FALSE)</f>
        <v>#N/A</v>
      </c>
      <c r="Z95" s="1" t="e">
        <f>VLOOKUP(N95,'Assessment Details'!$L$45:$M$48,2,FALSE)</f>
        <v>#N/A</v>
      </c>
      <c r="AA95" s="1" t="e">
        <f>VLOOKUP(T95,'Assessment Details'!$L$45:$M$48,2,FALSE)</f>
        <v>#N/A</v>
      </c>
    </row>
    <row r="96" spans="1:27" ht="15" customHeight="1" x14ac:dyDescent="0.25">
      <c r="A96" s="62">
        <v>90</v>
      </c>
      <c r="B96" s="420" t="s">
        <v>235</v>
      </c>
      <c r="C96" s="226" t="str">
        <f>Inn_07</f>
        <v>Inn 07 - Wst 01 Construction site waste man.</v>
      </c>
      <c r="D96" s="209">
        <f>Inn07_credits</f>
        <v>1</v>
      </c>
      <c r="E96" s="72"/>
      <c r="F96" s="210">
        <f>Inn07_cont</f>
        <v>0</v>
      </c>
      <c r="G96" s="224" t="str">
        <f>Inn07_minstd</f>
        <v>N/A</v>
      </c>
      <c r="H96" s="117"/>
      <c r="I96" s="445"/>
      <c r="J96" s="448"/>
      <c r="K96" s="242"/>
      <c r="L96" s="76"/>
      <c r="M96" s="118"/>
      <c r="N96" s="117"/>
      <c r="O96" s="123"/>
      <c r="P96" s="120"/>
      <c r="Q96" s="241"/>
      <c r="R96" s="122"/>
      <c r="S96" s="118"/>
      <c r="T96" s="117"/>
      <c r="U96" s="123"/>
      <c r="V96" s="120"/>
      <c r="W96" s="421"/>
      <c r="X96" s="191">
        <f t="shared" si="2"/>
        <v>1</v>
      </c>
      <c r="Y96" s="1" t="e">
        <f>VLOOKUP(I96,'Assessment Details'!$L$45:$M$48,2,FALSE)</f>
        <v>#N/A</v>
      </c>
      <c r="Z96" s="1" t="e">
        <f>VLOOKUP(N96,'Assessment Details'!$L$45:$M$48,2,FALSE)</f>
        <v>#N/A</v>
      </c>
      <c r="AA96" s="1" t="e">
        <f>VLOOKUP(T96,'Assessment Details'!$L$45:$M$48,2,FALSE)</f>
        <v>#N/A</v>
      </c>
    </row>
    <row r="97" spans="1:40" ht="15" customHeight="1" x14ac:dyDescent="0.25">
      <c r="A97" s="62">
        <v>91</v>
      </c>
      <c r="B97" s="420" t="s">
        <v>235</v>
      </c>
      <c r="C97" s="208" t="str">
        <f>Inn_08</f>
        <v>Inn 08 - Wst 02 Recycled aggregatess</v>
      </c>
      <c r="D97" s="209">
        <f>Inn08_credits</f>
        <v>1</v>
      </c>
      <c r="E97" s="72"/>
      <c r="F97" s="210">
        <f>Inn08_cont</f>
        <v>0</v>
      </c>
      <c r="G97" s="224" t="str">
        <f>Inn08_minstd</f>
        <v>N/A</v>
      </c>
      <c r="H97" s="117"/>
      <c r="I97" s="445"/>
      <c r="J97" s="448"/>
      <c r="K97" s="242"/>
      <c r="L97" s="76"/>
      <c r="M97" s="118"/>
      <c r="N97" s="117"/>
      <c r="O97" s="123"/>
      <c r="P97" s="120"/>
      <c r="Q97" s="241"/>
      <c r="R97" s="122"/>
      <c r="S97" s="118"/>
      <c r="T97" s="117"/>
      <c r="U97" s="123"/>
      <c r="V97" s="120"/>
      <c r="W97" s="421"/>
      <c r="X97" s="191">
        <f t="shared" si="2"/>
        <v>1</v>
      </c>
      <c r="Y97" s="1" t="e">
        <f>VLOOKUP(I97,'Assessment Details'!$L$45:$M$48,2,FALSE)</f>
        <v>#N/A</v>
      </c>
      <c r="Z97" s="1" t="e">
        <f>VLOOKUP(N97,'Assessment Details'!$L$45:$M$48,2,FALSE)</f>
        <v>#N/A</v>
      </c>
      <c r="AA97" s="1" t="e">
        <f>VLOOKUP(T97,'Assessment Details'!$L$45:$M$48,2,FALSE)</f>
        <v>#N/A</v>
      </c>
    </row>
    <row r="98" spans="1:40" ht="30.75" customHeight="1" thickBot="1" x14ac:dyDescent="0.3">
      <c r="A98" s="62">
        <v>93</v>
      </c>
      <c r="B98" s="420" t="s">
        <v>235</v>
      </c>
      <c r="C98" s="411" t="s">
        <v>88</v>
      </c>
      <c r="D98" s="215">
        <f>Inn_Credits</f>
        <v>10</v>
      </c>
      <c r="E98" s="233"/>
      <c r="F98" s="216">
        <f>Inn_cont_tot</f>
        <v>0</v>
      </c>
      <c r="G98" s="217" t="str">
        <f>"Credits achieved: "&amp;Inn_tot_user</f>
        <v>Credits achieved: 0</v>
      </c>
      <c r="H98" s="243"/>
      <c r="I98" s="446"/>
      <c r="J98" s="449"/>
      <c r="K98" s="242"/>
      <c r="L98" s="244"/>
      <c r="M98" s="258"/>
      <c r="N98" s="259"/>
      <c r="O98" s="259"/>
      <c r="P98" s="260"/>
      <c r="Q98" s="241"/>
      <c r="R98" s="248"/>
      <c r="S98" s="258"/>
      <c r="T98" s="259"/>
      <c r="U98" s="259"/>
      <c r="V98" s="260"/>
      <c r="W98" s="421"/>
      <c r="X98" s="191">
        <f t="shared" si="2"/>
        <v>1</v>
      </c>
      <c r="Y98" s="438">
        <v>0</v>
      </c>
      <c r="Z98" s="438">
        <v>0</v>
      </c>
      <c r="AA98" s="438">
        <v>0</v>
      </c>
    </row>
    <row r="99" spans="1:40" x14ac:dyDescent="0.25">
      <c r="A99" s="62">
        <v>94</v>
      </c>
      <c r="B99" s="420" t="s">
        <v>235</v>
      </c>
      <c r="C99" s="77"/>
      <c r="D99" s="3"/>
      <c r="E99" s="3"/>
      <c r="F99" s="3"/>
      <c r="G99" s="3"/>
      <c r="H99" s="77"/>
      <c r="I99" s="3"/>
      <c r="J99" s="441"/>
      <c r="K99" s="437"/>
      <c r="L99" s="3"/>
      <c r="M99" s="442"/>
      <c r="N99" s="441"/>
      <c r="O99" s="441"/>
      <c r="P99" s="441"/>
      <c r="Q99" s="439"/>
      <c r="R99" s="441"/>
      <c r="S99" s="442"/>
      <c r="T99" s="441"/>
      <c r="U99" s="441"/>
      <c r="V99" s="441"/>
      <c r="W99" s="439"/>
      <c r="X99" s="191"/>
      <c r="Y99" s="440"/>
      <c r="Z99" s="440"/>
      <c r="AA99" s="440"/>
    </row>
    <row r="100" spans="1:40" x14ac:dyDescent="0.25">
      <c r="A100" s="62"/>
      <c r="B100" s="74"/>
      <c r="C100" s="50"/>
      <c r="J100" s="11"/>
      <c r="K100" s="191"/>
      <c r="L100" s="1"/>
      <c r="M100" s="11"/>
      <c r="N100" s="11"/>
      <c r="O100" s="11"/>
      <c r="P100" s="422"/>
      <c r="Q100" s="421"/>
      <c r="R100" s="11"/>
      <c r="S100" s="11"/>
      <c r="T100" s="11"/>
      <c r="U100" s="11"/>
      <c r="V100" s="422"/>
      <c r="W100" s="421"/>
      <c r="X100" s="191"/>
      <c r="Y100" s="1"/>
      <c r="Z100" s="1"/>
      <c r="AA100" s="1"/>
    </row>
    <row r="101" spans="1:40" x14ac:dyDescent="0.25">
      <c r="A101" s="74"/>
      <c r="B101" s="74"/>
      <c r="C101" s="458" t="s">
        <v>334</v>
      </c>
      <c r="D101" s="22"/>
      <c r="J101" s="11"/>
      <c r="K101" s="191"/>
      <c r="L101" s="1"/>
      <c r="M101" s="11"/>
      <c r="N101" s="11"/>
      <c r="O101" s="11"/>
      <c r="P101" s="423"/>
      <c r="Q101" s="421"/>
      <c r="R101" s="11"/>
      <c r="S101" s="11"/>
      <c r="T101" s="11"/>
      <c r="U101" s="11"/>
      <c r="V101" s="423"/>
      <c r="W101" s="421"/>
      <c r="X101" s="191"/>
      <c r="Y101" s="1"/>
      <c r="Z101" s="1"/>
      <c r="AA101" s="1"/>
    </row>
    <row r="102" spans="1:40" x14ac:dyDescent="0.25">
      <c r="A102" s="97"/>
      <c r="B102" s="97"/>
      <c r="C102" s="50"/>
      <c r="D102" s="44"/>
      <c r="J102" s="11"/>
      <c r="K102" s="191"/>
      <c r="L102" s="1"/>
      <c r="M102" s="11"/>
      <c r="N102" s="11"/>
      <c r="O102" s="11"/>
      <c r="P102" s="422"/>
      <c r="Q102" s="421"/>
      <c r="R102" s="11"/>
      <c r="S102" s="11"/>
      <c r="T102" s="11"/>
      <c r="U102" s="11"/>
      <c r="V102" s="422"/>
      <c r="W102" s="421"/>
      <c r="X102" s="191"/>
      <c r="Y102" s="1"/>
      <c r="Z102" s="1"/>
      <c r="AA102" s="1"/>
    </row>
    <row r="103" spans="1:40" x14ac:dyDescent="0.25">
      <c r="A103" s="97"/>
      <c r="B103" s="97"/>
      <c r="C103" s="51"/>
      <c r="D103" s="22"/>
      <c r="J103" s="11"/>
      <c r="K103" s="191"/>
      <c r="L103" s="1"/>
      <c r="M103" s="11"/>
      <c r="N103" s="11"/>
      <c r="O103" s="11"/>
      <c r="P103" s="423"/>
      <c r="Q103" s="421"/>
      <c r="R103" s="11"/>
      <c r="S103" s="11"/>
      <c r="T103" s="11"/>
      <c r="U103" s="11"/>
      <c r="V103" s="423"/>
      <c r="W103" s="421"/>
      <c r="X103" s="191"/>
      <c r="Y103" s="1"/>
      <c r="Z103" s="1"/>
      <c r="AA103" s="1"/>
    </row>
    <row r="104" spans="1:40" x14ac:dyDescent="0.25">
      <c r="A104" s="97"/>
      <c r="B104" s="97"/>
      <c r="C104" s="50"/>
      <c r="D104" s="44"/>
      <c r="J104" s="11"/>
      <c r="K104" s="191"/>
      <c r="L104" s="1"/>
      <c r="M104" s="11"/>
      <c r="N104" s="11"/>
      <c r="O104" s="11"/>
      <c r="P104" s="422"/>
      <c r="Q104" s="421"/>
      <c r="R104" s="11"/>
      <c r="S104" s="11"/>
      <c r="T104" s="11"/>
      <c r="U104" s="11"/>
      <c r="V104" s="422"/>
      <c r="W104" s="421"/>
      <c r="X104" s="191"/>
      <c r="Y104" s="45"/>
      <c r="Z104" s="45"/>
      <c r="AA104" s="45"/>
      <c r="AB104" s="45"/>
      <c r="AC104" s="45"/>
      <c r="AD104" s="45"/>
      <c r="AE104" s="45"/>
      <c r="AF104" s="45"/>
      <c r="AG104" s="45"/>
      <c r="AH104" s="45"/>
      <c r="AI104" s="45"/>
      <c r="AJ104" s="45"/>
      <c r="AK104" s="45"/>
      <c r="AL104" s="45"/>
      <c r="AM104" s="45"/>
      <c r="AN104" s="45"/>
    </row>
    <row r="105" spans="1:40" x14ac:dyDescent="0.25">
      <c r="J105" s="11"/>
      <c r="K105" s="191"/>
      <c r="L105" s="1"/>
      <c r="M105" s="11"/>
      <c r="N105" s="11"/>
      <c r="O105" s="11"/>
      <c r="P105" s="11"/>
      <c r="Q105" s="421"/>
      <c r="R105" s="11"/>
      <c r="S105" s="11"/>
      <c r="T105" s="11"/>
      <c r="U105" s="11"/>
      <c r="V105" s="11"/>
      <c r="W105" s="421"/>
      <c r="X105" s="191"/>
      <c r="Y105" s="1"/>
      <c r="Z105" s="1"/>
      <c r="AA105" s="1"/>
    </row>
    <row r="106" spans="1:40" x14ac:dyDescent="0.25">
      <c r="J106" s="11"/>
      <c r="K106" s="191"/>
      <c r="L106" s="1"/>
      <c r="M106" s="11"/>
      <c r="N106" s="11"/>
      <c r="O106" s="11"/>
      <c r="P106" s="11"/>
      <c r="Q106" s="421"/>
      <c r="R106" s="11"/>
      <c r="S106" s="11"/>
      <c r="T106" s="11"/>
      <c r="U106" s="11"/>
      <c r="V106" s="11"/>
      <c r="W106" s="421"/>
      <c r="X106" s="191"/>
      <c r="Y106" s="1"/>
      <c r="Z106" s="1"/>
      <c r="AA106" s="1"/>
    </row>
    <row r="107" spans="1:40" x14ac:dyDescent="0.25">
      <c r="J107" s="11"/>
      <c r="K107" s="191"/>
      <c r="L107" s="1"/>
      <c r="M107" s="11"/>
      <c r="N107" s="11"/>
      <c r="O107" s="11"/>
      <c r="P107" s="11"/>
      <c r="Q107" s="421"/>
      <c r="R107" s="11"/>
      <c r="S107" s="11"/>
      <c r="T107" s="11"/>
      <c r="U107" s="11"/>
      <c r="V107" s="11"/>
      <c r="W107" s="421"/>
      <c r="X107" s="191"/>
      <c r="Y107" s="1"/>
      <c r="Z107" s="1"/>
      <c r="AA107" s="1"/>
    </row>
    <row r="108" spans="1:40" x14ac:dyDescent="0.25">
      <c r="J108" s="11"/>
      <c r="K108" s="191"/>
      <c r="L108" s="1"/>
      <c r="M108" s="11"/>
      <c r="N108" s="11"/>
      <c r="O108" s="11"/>
      <c r="P108" s="11"/>
      <c r="Q108" s="421"/>
      <c r="R108" s="11"/>
      <c r="S108" s="11"/>
      <c r="T108" s="11"/>
      <c r="U108" s="11"/>
      <c r="V108" s="11"/>
      <c r="W108" s="421"/>
      <c r="X108" s="191"/>
      <c r="Y108" s="1"/>
      <c r="Z108" s="1"/>
      <c r="AA108" s="1"/>
    </row>
    <row r="109" spans="1:40" x14ac:dyDescent="0.25">
      <c r="J109" s="11"/>
      <c r="K109" s="191"/>
      <c r="L109" s="1"/>
      <c r="M109" s="11"/>
      <c r="N109" s="11"/>
      <c r="O109" s="11"/>
      <c r="P109" s="11"/>
      <c r="Q109" s="421"/>
      <c r="R109" s="11"/>
      <c r="S109" s="11"/>
      <c r="T109" s="11"/>
      <c r="U109" s="11"/>
      <c r="V109" s="11"/>
      <c r="W109" s="421"/>
      <c r="X109" s="191"/>
      <c r="Y109" s="1"/>
      <c r="Z109" s="1"/>
      <c r="AA109" s="1"/>
    </row>
    <row r="110" spans="1:40" x14ac:dyDescent="0.25">
      <c r="J110" s="11"/>
      <c r="K110" s="191"/>
      <c r="L110" s="1"/>
      <c r="M110" s="11"/>
      <c r="N110" s="11"/>
      <c r="O110" s="11"/>
      <c r="P110" s="11"/>
      <c r="Q110" s="421"/>
      <c r="R110" s="11"/>
      <c r="S110" s="11"/>
      <c r="T110" s="11"/>
      <c r="U110" s="11"/>
      <c r="V110" s="11"/>
      <c r="W110" s="421"/>
      <c r="X110" s="191"/>
      <c r="Y110" s="1"/>
      <c r="Z110" s="1"/>
      <c r="AA110" s="1"/>
    </row>
    <row r="111" spans="1:40" x14ac:dyDescent="0.25">
      <c r="J111" s="11"/>
      <c r="K111" s="191"/>
      <c r="L111" s="1"/>
      <c r="M111" s="11"/>
      <c r="N111" s="11"/>
      <c r="O111" s="11"/>
      <c r="P111" s="11"/>
      <c r="Q111" s="421"/>
      <c r="R111" s="11"/>
      <c r="S111" s="11"/>
      <c r="T111" s="11"/>
      <c r="U111" s="11"/>
      <c r="V111" s="11"/>
      <c r="W111" s="421"/>
      <c r="X111" s="191"/>
      <c r="Y111" s="1"/>
      <c r="Z111" s="1"/>
      <c r="AA111" s="1"/>
    </row>
    <row r="112" spans="1:40" x14ac:dyDescent="0.25">
      <c r="J112" s="11"/>
      <c r="K112" s="191"/>
      <c r="L112" s="1"/>
      <c r="M112" s="11"/>
      <c r="N112" s="11"/>
      <c r="O112" s="11"/>
      <c r="P112" s="11"/>
      <c r="Q112" s="421"/>
      <c r="R112" s="11"/>
      <c r="S112" s="11"/>
      <c r="T112" s="11"/>
      <c r="U112" s="11"/>
      <c r="V112" s="11"/>
      <c r="W112" s="421"/>
      <c r="X112" s="191"/>
      <c r="Y112" s="1"/>
      <c r="Z112" s="1"/>
      <c r="AA112" s="1"/>
    </row>
    <row r="113" spans="10:27" x14ac:dyDescent="0.25">
      <c r="J113" s="11"/>
      <c r="K113" s="191"/>
      <c r="L113" s="1"/>
      <c r="M113" s="11"/>
      <c r="N113" s="11"/>
      <c r="O113" s="11"/>
      <c r="P113" s="11"/>
      <c r="Q113" s="421"/>
      <c r="R113" s="11"/>
      <c r="S113" s="11"/>
      <c r="T113" s="11"/>
      <c r="U113" s="11"/>
      <c r="V113" s="11"/>
      <c r="W113" s="421"/>
      <c r="X113" s="191"/>
      <c r="Y113" s="1"/>
      <c r="Z113" s="1"/>
      <c r="AA113" s="1"/>
    </row>
    <row r="114" spans="10:27" x14ac:dyDescent="0.25">
      <c r="J114" s="11"/>
      <c r="K114" s="191"/>
      <c r="L114" s="1"/>
      <c r="M114" s="11"/>
      <c r="N114" s="11"/>
      <c r="O114" s="11"/>
      <c r="P114" s="11"/>
      <c r="Q114" s="421"/>
      <c r="R114" s="11"/>
      <c r="S114" s="11"/>
      <c r="T114" s="11"/>
      <c r="U114" s="11"/>
      <c r="V114" s="11"/>
      <c r="W114" s="421"/>
      <c r="X114" s="191"/>
      <c r="Y114" s="1"/>
      <c r="Z114" s="1"/>
      <c r="AA114" s="1"/>
    </row>
    <row r="115" spans="10:27" x14ac:dyDescent="0.25">
      <c r="J115" s="11"/>
      <c r="K115" s="191"/>
      <c r="L115" s="1"/>
      <c r="M115" s="11"/>
      <c r="N115" s="11"/>
      <c r="O115" s="11"/>
      <c r="P115" s="11"/>
      <c r="Q115" s="421"/>
      <c r="R115" s="11"/>
      <c r="S115" s="11"/>
      <c r="T115" s="11"/>
      <c r="U115" s="11"/>
      <c r="V115" s="11"/>
      <c r="W115" s="421"/>
      <c r="X115" s="191"/>
      <c r="Y115" s="1"/>
      <c r="Z115" s="1"/>
      <c r="AA115" s="1"/>
    </row>
    <row r="116" spans="10:27" x14ac:dyDescent="0.25">
      <c r="J116" s="11"/>
      <c r="K116" s="191"/>
      <c r="L116" s="1"/>
      <c r="M116" s="11"/>
      <c r="N116" s="11"/>
      <c r="O116" s="11"/>
      <c r="P116" s="11"/>
      <c r="Q116" s="421"/>
      <c r="R116" s="11"/>
      <c r="S116" s="11"/>
      <c r="T116" s="11"/>
      <c r="U116" s="11"/>
      <c r="V116" s="11"/>
      <c r="W116" s="421"/>
      <c r="X116" s="191"/>
      <c r="Y116" s="1"/>
      <c r="Z116" s="1"/>
      <c r="AA116" s="1"/>
    </row>
    <row r="117" spans="10:27" x14ac:dyDescent="0.25">
      <c r="J117" s="11"/>
      <c r="K117" s="191"/>
      <c r="L117" s="1"/>
      <c r="M117" s="11"/>
      <c r="N117" s="11"/>
      <c r="O117" s="11"/>
      <c r="P117" s="11"/>
      <c r="Q117" s="421"/>
      <c r="R117" s="11"/>
      <c r="S117" s="11"/>
      <c r="T117" s="11"/>
      <c r="U117" s="11"/>
      <c r="V117" s="11"/>
      <c r="W117" s="421"/>
      <c r="X117" s="191"/>
      <c r="Y117" s="1"/>
      <c r="Z117" s="1"/>
      <c r="AA117" s="1"/>
    </row>
    <row r="118" spans="10:27" x14ac:dyDescent="0.25">
      <c r="J118" s="11"/>
      <c r="K118" s="191"/>
      <c r="L118" s="1"/>
      <c r="M118" s="11"/>
      <c r="N118" s="11"/>
      <c r="O118" s="11"/>
      <c r="P118" s="11"/>
      <c r="Q118" s="421"/>
      <c r="R118" s="11"/>
      <c r="S118" s="11"/>
      <c r="T118" s="11"/>
      <c r="U118" s="11"/>
      <c r="V118" s="11"/>
      <c r="W118" s="421"/>
      <c r="X118" s="191"/>
      <c r="Y118" s="1"/>
      <c r="Z118" s="1"/>
      <c r="AA118" s="1"/>
    </row>
    <row r="119" spans="10:27" x14ac:dyDescent="0.25">
      <c r="J119" s="11"/>
      <c r="K119" s="191"/>
      <c r="L119" s="1"/>
      <c r="M119" s="11"/>
      <c r="N119" s="11"/>
      <c r="O119" s="11"/>
      <c r="P119" s="11"/>
      <c r="Q119" s="421"/>
      <c r="R119" s="11"/>
      <c r="S119" s="11"/>
      <c r="T119" s="11"/>
      <c r="U119" s="11"/>
      <c r="V119" s="11"/>
      <c r="W119" s="421"/>
      <c r="X119" s="191"/>
      <c r="Y119" s="1"/>
      <c r="Z119" s="1"/>
      <c r="AA119" s="1"/>
    </row>
    <row r="120" spans="10:27" x14ac:dyDescent="0.25">
      <c r="J120" s="11"/>
      <c r="K120" s="191"/>
      <c r="L120" s="1"/>
      <c r="M120" s="11"/>
      <c r="N120" s="11"/>
      <c r="O120" s="11"/>
      <c r="P120" s="11"/>
      <c r="Q120" s="421"/>
      <c r="R120" s="11"/>
      <c r="S120" s="11"/>
      <c r="T120" s="11"/>
      <c r="U120" s="11"/>
      <c r="V120" s="11"/>
      <c r="W120" s="421"/>
      <c r="X120" s="191"/>
      <c r="Y120" s="1"/>
      <c r="Z120" s="1"/>
      <c r="AA120" s="1"/>
    </row>
    <row r="121" spans="10:27" x14ac:dyDescent="0.25">
      <c r="J121" s="11"/>
      <c r="M121" s="406"/>
      <c r="N121" s="406"/>
      <c r="O121" s="406"/>
      <c r="P121" s="406"/>
      <c r="Q121" s="241"/>
      <c r="R121" s="406"/>
      <c r="S121" s="406"/>
      <c r="T121" s="406"/>
      <c r="U121" s="406"/>
      <c r="V121" s="406"/>
      <c r="W121" s="121"/>
    </row>
    <row r="122" spans="10:27" x14ac:dyDescent="0.25">
      <c r="J122" s="11"/>
      <c r="M122" s="406"/>
      <c r="N122" s="406"/>
      <c r="O122" s="406"/>
      <c r="P122" s="406"/>
      <c r="Q122" s="241"/>
      <c r="R122" s="406"/>
      <c r="S122" s="406"/>
      <c r="T122" s="406"/>
      <c r="U122" s="406"/>
      <c r="V122" s="406"/>
      <c r="W122" s="121"/>
    </row>
    <row r="123" spans="10:27" x14ac:dyDescent="0.25">
      <c r="J123" s="11"/>
      <c r="M123" s="406"/>
      <c r="N123" s="406"/>
      <c r="O123" s="406"/>
      <c r="P123" s="406"/>
      <c r="Q123" s="241"/>
      <c r="R123" s="406"/>
      <c r="S123" s="406"/>
      <c r="T123" s="406"/>
      <c r="U123" s="406"/>
      <c r="V123" s="406"/>
      <c r="W123" s="121"/>
    </row>
    <row r="124" spans="10:27" x14ac:dyDescent="0.25">
      <c r="J124" s="11"/>
      <c r="M124" s="406"/>
      <c r="N124" s="406"/>
      <c r="O124" s="406"/>
      <c r="P124" s="406"/>
      <c r="Q124" s="241"/>
      <c r="R124" s="406"/>
      <c r="S124" s="406"/>
      <c r="T124" s="406"/>
      <c r="U124" s="406"/>
      <c r="V124" s="406"/>
      <c r="W124" s="121"/>
    </row>
    <row r="257" spans="3:22" ht="15.75" x14ac:dyDescent="0.25">
      <c r="C257" s="8"/>
      <c r="D257" s="8"/>
      <c r="E257" s="8"/>
      <c r="F257" s="8"/>
      <c r="G257" s="8"/>
      <c r="H257" s="8"/>
      <c r="I257" s="8"/>
      <c r="J257" s="43"/>
      <c r="L257" s="407"/>
      <c r="M257" s="407"/>
      <c r="N257" s="407"/>
      <c r="O257" s="407"/>
      <c r="P257" s="407"/>
      <c r="R257" s="407"/>
      <c r="S257" s="407"/>
      <c r="T257" s="407"/>
      <c r="U257" s="407"/>
      <c r="V257" s="407"/>
    </row>
  </sheetData>
  <sheetProtection algorithmName="SHA-512" hashValue="3qL8YSpKVW4dXUYveP9qwBQUYR02RsLru7Ufx+IUc5XYxJaqzhKvKRIZtTDURzBeS2NDHnY00mCnXhndv9BqIg==" saltValue="Ffl33m6C00xIEQZDezZWEw==" spinCount="100000" sheet="1" objects="1" scenarios="1" formatCells="0" formatRows="0" selectLockedCells="1" sort="0" autoFilter="0"/>
  <protectedRanges>
    <protectedRange sqref="A8:AA103" name="Sortering"/>
  </protectedRanges>
  <autoFilter ref="A8:AA99" xr:uid="{00000000-0009-0000-0000-000001000000}">
    <sortState xmlns:xlrd2="http://schemas.microsoft.com/office/spreadsheetml/2017/richdata2" ref="A9:AA99">
      <sortCondition ref="A8:A99"/>
    </sortState>
  </autoFilter>
  <mergeCells count="4">
    <mergeCell ref="Y7:AA7"/>
    <mergeCell ref="E3:I3"/>
    <mergeCell ref="L3:P3"/>
    <mergeCell ref="R3:V3"/>
  </mergeCells>
  <phoneticPr fontId="24" type="noConversion"/>
  <conditionalFormatting sqref="H30:I40 H43:I48 H51:I55 H58:I63 H66:I70 H73:I78 H81:I86 H9:I27 H89:I97">
    <cfRule type="expression" dxfId="362" priority="130">
      <formula>$Y9=4</formula>
    </cfRule>
    <cfRule type="expression" dxfId="361" priority="131">
      <formula>$Y9=3</formula>
    </cfRule>
    <cfRule type="expression" dxfId="360" priority="132">
      <formula>$Y9=2</formula>
    </cfRule>
    <cfRule type="expression" dxfId="359" priority="133">
      <formula>$Y9=1</formula>
    </cfRule>
  </conditionalFormatting>
  <conditionalFormatting sqref="M30:N40 M43:N48 M51:N55 M58:N63 M66:N70 M73:N78 M81:N86 M9:N27 M89:N97">
    <cfRule type="expression" dxfId="358" priority="126">
      <formula>$Z9=4</formula>
    </cfRule>
    <cfRule type="expression" dxfId="357" priority="127">
      <formula>$Z9=3</formula>
    </cfRule>
    <cfRule type="expression" dxfId="356" priority="128">
      <formula>$Z9=2</formula>
    </cfRule>
    <cfRule type="expression" dxfId="355" priority="129">
      <formula>$Z9=1</formula>
    </cfRule>
  </conditionalFormatting>
  <conditionalFormatting sqref="S30:T40 S43:T48 S51:T55 S58:T63 S66:T70 S73:T78 S81:T86 S9:T27 S89:T97">
    <cfRule type="expression" dxfId="354" priority="122">
      <formula>$AA9=4</formula>
    </cfRule>
    <cfRule type="expression" dxfId="353" priority="123">
      <formula>$AA9=3</formula>
    </cfRule>
    <cfRule type="expression" dxfId="352" priority="124">
      <formula>$AA9=2</formula>
    </cfRule>
    <cfRule type="expression" dxfId="351" priority="125">
      <formula>$AA9=1</formula>
    </cfRule>
  </conditionalFormatting>
  <conditionalFormatting sqref="H28:I29">
    <cfRule type="expression" dxfId="350" priority="118">
      <formula>$Y28=4</formula>
    </cfRule>
    <cfRule type="expression" dxfId="349" priority="119">
      <formula>$Y28=3</formula>
    </cfRule>
    <cfRule type="expression" dxfId="348" priority="120">
      <formula>$Y28=2</formula>
    </cfRule>
    <cfRule type="expression" dxfId="347" priority="121">
      <formula>$Y28=1</formula>
    </cfRule>
  </conditionalFormatting>
  <conditionalFormatting sqref="M28:N29">
    <cfRule type="expression" dxfId="346" priority="114">
      <formula>$Z28=4</formula>
    </cfRule>
    <cfRule type="expression" dxfId="345" priority="115">
      <formula>$Z28=3</formula>
    </cfRule>
    <cfRule type="expression" dxfId="344" priority="116">
      <formula>$Z28=2</formula>
    </cfRule>
    <cfRule type="expression" dxfId="343" priority="117">
      <formula>$Z28=1</formula>
    </cfRule>
  </conditionalFormatting>
  <conditionalFormatting sqref="S28:T29">
    <cfRule type="expression" dxfId="342" priority="110">
      <formula>$AA28=4</formula>
    </cfRule>
    <cfRule type="expression" dxfId="341" priority="111">
      <formula>$AA28=3</formula>
    </cfRule>
    <cfRule type="expression" dxfId="340" priority="112">
      <formula>$AA28=2</formula>
    </cfRule>
    <cfRule type="expression" dxfId="339" priority="113">
      <formula>$AA28=1</formula>
    </cfRule>
  </conditionalFormatting>
  <conditionalFormatting sqref="H41:I42">
    <cfRule type="expression" dxfId="338" priority="106">
      <formula>$Y41=4</formula>
    </cfRule>
    <cfRule type="expression" dxfId="337" priority="107">
      <formula>$Y41=3</formula>
    </cfRule>
    <cfRule type="expression" dxfId="336" priority="108">
      <formula>$Y41=2</formula>
    </cfRule>
    <cfRule type="expression" dxfId="335" priority="109">
      <formula>$Y41=1</formula>
    </cfRule>
  </conditionalFormatting>
  <conditionalFormatting sqref="M41:N42">
    <cfRule type="expression" dxfId="334" priority="102">
      <formula>$Z41=4</formula>
    </cfRule>
    <cfRule type="expression" dxfId="333" priority="103">
      <formula>$Z41=3</formula>
    </cfRule>
    <cfRule type="expression" dxfId="332" priority="104">
      <formula>$Z41=2</formula>
    </cfRule>
    <cfRule type="expression" dxfId="331" priority="105">
      <formula>$Z41=1</formula>
    </cfRule>
  </conditionalFormatting>
  <conditionalFormatting sqref="S41:T42">
    <cfRule type="expression" dxfId="330" priority="98">
      <formula>$AA41=4</formula>
    </cfRule>
    <cfRule type="expression" dxfId="329" priority="99">
      <formula>$AA41=3</formula>
    </cfRule>
    <cfRule type="expression" dxfId="328" priority="100">
      <formula>$AA41=2</formula>
    </cfRule>
    <cfRule type="expression" dxfId="327" priority="101">
      <formula>$AA41=1</formula>
    </cfRule>
  </conditionalFormatting>
  <conditionalFormatting sqref="H49:I50">
    <cfRule type="expression" dxfId="326" priority="94">
      <formula>$Y49=4</formula>
    </cfRule>
    <cfRule type="expression" dxfId="325" priority="95">
      <formula>$Y49=3</formula>
    </cfRule>
    <cfRule type="expression" dxfId="324" priority="96">
      <formula>$Y49=2</formula>
    </cfRule>
    <cfRule type="expression" dxfId="323" priority="97">
      <formula>$Y49=1</formula>
    </cfRule>
  </conditionalFormatting>
  <conditionalFormatting sqref="M49:N50">
    <cfRule type="expression" dxfId="322" priority="90">
      <formula>$Z49=4</formula>
    </cfRule>
    <cfRule type="expression" dxfId="321" priority="91">
      <formula>$Z49=3</formula>
    </cfRule>
    <cfRule type="expression" dxfId="320" priority="92">
      <formula>$Z49=2</formula>
    </cfRule>
    <cfRule type="expression" dxfId="319" priority="93">
      <formula>$Z49=1</formula>
    </cfRule>
  </conditionalFormatting>
  <conditionalFormatting sqref="S49:T50">
    <cfRule type="expression" dxfId="318" priority="86">
      <formula>$AA49=4</formula>
    </cfRule>
    <cfRule type="expression" dxfId="317" priority="87">
      <formula>$AA49=3</formula>
    </cfRule>
    <cfRule type="expression" dxfId="316" priority="88">
      <formula>$AA49=2</formula>
    </cfRule>
    <cfRule type="expression" dxfId="315" priority="89">
      <formula>$AA49=1</formula>
    </cfRule>
  </conditionalFormatting>
  <conditionalFormatting sqref="H56:I57">
    <cfRule type="expression" dxfId="314" priority="82">
      <formula>$Y56=4</formula>
    </cfRule>
    <cfRule type="expression" dxfId="313" priority="83">
      <formula>$Y56=3</formula>
    </cfRule>
    <cfRule type="expression" dxfId="312" priority="84">
      <formula>$Y56=2</formula>
    </cfRule>
    <cfRule type="expression" dxfId="311" priority="85">
      <formula>$Y56=1</formula>
    </cfRule>
  </conditionalFormatting>
  <conditionalFormatting sqref="M56:N57">
    <cfRule type="expression" dxfId="310" priority="78">
      <formula>$Z56=4</formula>
    </cfRule>
    <cfRule type="expression" dxfId="309" priority="79">
      <formula>$Z56=3</formula>
    </cfRule>
    <cfRule type="expression" dxfId="308" priority="80">
      <formula>$Z56=2</formula>
    </cfRule>
    <cfRule type="expression" dxfId="307" priority="81">
      <formula>$Z56=1</formula>
    </cfRule>
  </conditionalFormatting>
  <conditionalFormatting sqref="S56:T57">
    <cfRule type="expression" dxfId="306" priority="74">
      <formula>$AA56=4</formula>
    </cfRule>
    <cfRule type="expression" dxfId="305" priority="75">
      <formula>$AA56=3</formula>
    </cfRule>
    <cfRule type="expression" dxfId="304" priority="76">
      <formula>$AA56=2</formula>
    </cfRule>
    <cfRule type="expression" dxfId="303" priority="77">
      <formula>$AA56=1</formula>
    </cfRule>
  </conditionalFormatting>
  <conditionalFormatting sqref="H64:I65">
    <cfRule type="expression" dxfId="302" priority="70">
      <formula>$Y64=4</formula>
    </cfRule>
    <cfRule type="expression" dxfId="301" priority="71">
      <formula>$Y64=3</formula>
    </cfRule>
    <cfRule type="expression" dxfId="300" priority="72">
      <formula>$Y64=2</formula>
    </cfRule>
    <cfRule type="expression" dxfId="299" priority="73">
      <formula>$Y64=1</formula>
    </cfRule>
  </conditionalFormatting>
  <conditionalFormatting sqref="M64:N65">
    <cfRule type="expression" dxfId="298" priority="66">
      <formula>$Z64=4</formula>
    </cfRule>
    <cfRule type="expression" dxfId="297" priority="67">
      <formula>$Z64=3</formula>
    </cfRule>
    <cfRule type="expression" dxfId="296" priority="68">
      <formula>$Z64=2</formula>
    </cfRule>
    <cfRule type="expression" dxfId="295" priority="69">
      <formula>$Z64=1</formula>
    </cfRule>
  </conditionalFormatting>
  <conditionalFormatting sqref="S64:T65">
    <cfRule type="expression" dxfId="294" priority="62">
      <formula>$AA64=4</formula>
    </cfRule>
    <cfRule type="expression" dxfId="293" priority="63">
      <formula>$AA64=3</formula>
    </cfRule>
    <cfRule type="expression" dxfId="292" priority="64">
      <formula>$AA64=2</formula>
    </cfRule>
    <cfRule type="expression" dxfId="291" priority="65">
      <formula>$AA64=1</formula>
    </cfRule>
  </conditionalFormatting>
  <conditionalFormatting sqref="H71:I72">
    <cfRule type="expression" dxfId="290" priority="58">
      <formula>$Y71=4</formula>
    </cfRule>
    <cfRule type="expression" dxfId="289" priority="59">
      <formula>$Y71=3</formula>
    </cfRule>
    <cfRule type="expression" dxfId="288" priority="60">
      <formula>$Y71=2</formula>
    </cfRule>
    <cfRule type="expression" dxfId="287" priority="61">
      <formula>$Y71=1</formula>
    </cfRule>
  </conditionalFormatting>
  <conditionalFormatting sqref="M71:N72">
    <cfRule type="expression" dxfId="286" priority="54">
      <formula>$Z71=4</formula>
    </cfRule>
    <cfRule type="expression" dxfId="285" priority="55">
      <formula>$Z71=3</formula>
    </cfRule>
    <cfRule type="expression" dxfId="284" priority="56">
      <formula>$Z71=2</formula>
    </cfRule>
    <cfRule type="expression" dxfId="283" priority="57">
      <formula>$Z71=1</formula>
    </cfRule>
  </conditionalFormatting>
  <conditionalFormatting sqref="S71:T72">
    <cfRule type="expression" dxfId="282" priority="50">
      <formula>$AA71=4</formula>
    </cfRule>
    <cfRule type="expression" dxfId="281" priority="51">
      <formula>$AA71=3</formula>
    </cfRule>
    <cfRule type="expression" dxfId="280" priority="52">
      <formula>$AA71=2</formula>
    </cfRule>
    <cfRule type="expression" dxfId="279" priority="53">
      <formula>$AA71=1</formula>
    </cfRule>
  </conditionalFormatting>
  <conditionalFormatting sqref="H79:I80">
    <cfRule type="expression" dxfId="278" priority="46">
      <formula>$Y79=4</formula>
    </cfRule>
    <cfRule type="expression" dxfId="277" priority="47">
      <formula>$Y79=3</formula>
    </cfRule>
    <cfRule type="expression" dxfId="276" priority="48">
      <formula>$Y79=2</formula>
    </cfRule>
    <cfRule type="expression" dxfId="275" priority="49">
      <formula>$Y79=1</formula>
    </cfRule>
  </conditionalFormatting>
  <conditionalFormatting sqref="M79:N80">
    <cfRule type="expression" dxfId="274" priority="42">
      <formula>$Z79=4</formula>
    </cfRule>
    <cfRule type="expression" dxfId="273" priority="43">
      <formula>$Z79=3</formula>
    </cfRule>
    <cfRule type="expression" dxfId="272" priority="44">
      <formula>$Z79=2</formula>
    </cfRule>
    <cfRule type="expression" dxfId="271" priority="45">
      <formula>$Z79=1</formula>
    </cfRule>
  </conditionalFormatting>
  <conditionalFormatting sqref="S79:T80">
    <cfRule type="expression" dxfId="270" priority="38">
      <formula>$AA79=4</formula>
    </cfRule>
    <cfRule type="expression" dxfId="269" priority="39">
      <formula>$AA79=3</formula>
    </cfRule>
    <cfRule type="expression" dxfId="268" priority="40">
      <formula>$AA79=2</formula>
    </cfRule>
    <cfRule type="expression" dxfId="267" priority="41">
      <formula>$AA79=1</formula>
    </cfRule>
  </conditionalFormatting>
  <conditionalFormatting sqref="H87:I88">
    <cfRule type="expression" dxfId="266" priority="34">
      <formula>$Y87=4</formula>
    </cfRule>
    <cfRule type="expression" dxfId="265" priority="35">
      <formula>$Y87=3</formula>
    </cfRule>
    <cfRule type="expression" dxfId="264" priority="36">
      <formula>$Y87=2</formula>
    </cfRule>
    <cfRule type="expression" dxfId="263" priority="37">
      <formula>$Y87=1</formula>
    </cfRule>
  </conditionalFormatting>
  <conditionalFormatting sqref="M87:N88">
    <cfRule type="expression" dxfId="262" priority="30">
      <formula>$Z87=4</formula>
    </cfRule>
    <cfRule type="expression" dxfId="261" priority="31">
      <formula>$Z87=3</formula>
    </cfRule>
    <cfRule type="expression" dxfId="260" priority="32">
      <formula>$Z87=2</formula>
    </cfRule>
    <cfRule type="expression" dxfId="259" priority="33">
      <formula>$Z87=1</formula>
    </cfRule>
  </conditionalFormatting>
  <conditionalFormatting sqref="S87:T88">
    <cfRule type="expression" dxfId="258" priority="26">
      <formula>$AA87=4</formula>
    </cfRule>
    <cfRule type="expression" dxfId="257" priority="27">
      <formula>$AA87=3</formula>
    </cfRule>
    <cfRule type="expression" dxfId="256" priority="28">
      <formula>$AA87=2</formula>
    </cfRule>
    <cfRule type="expression" dxfId="255" priority="29">
      <formula>$AA87=1</formula>
    </cfRule>
  </conditionalFormatting>
  <conditionalFormatting sqref="H98:I99">
    <cfRule type="expression" dxfId="254" priority="22">
      <formula>$Y98=4</formula>
    </cfRule>
    <cfRule type="expression" dxfId="253" priority="23">
      <formula>$Y98=3</formula>
    </cfRule>
    <cfRule type="expression" dxfId="252" priority="24">
      <formula>$Y98=2</formula>
    </cfRule>
    <cfRule type="expression" dxfId="251" priority="25">
      <formula>$Y98=1</formula>
    </cfRule>
  </conditionalFormatting>
  <conditionalFormatting sqref="M98:N99">
    <cfRule type="expression" dxfId="250" priority="18">
      <formula>$Z98=4</formula>
    </cfRule>
    <cfRule type="expression" dxfId="249" priority="19">
      <formula>$Z98=3</formula>
    </cfRule>
    <cfRule type="expression" dxfId="248" priority="20">
      <formula>$Z98=2</formula>
    </cfRule>
    <cfRule type="expression" dxfId="247" priority="21">
      <formula>$Z98=1</formula>
    </cfRule>
  </conditionalFormatting>
  <conditionalFormatting sqref="S98:T99">
    <cfRule type="expression" dxfId="246" priority="14">
      <formula>$AA98=4</formula>
    </cfRule>
    <cfRule type="expression" dxfId="245" priority="15">
      <formula>$AA98=3</formula>
    </cfRule>
    <cfRule type="expression" dxfId="244" priority="16">
      <formula>$AA98=2</formula>
    </cfRule>
    <cfRule type="expression" dxfId="243" priority="17">
      <formula>$AA98=1</formula>
    </cfRule>
  </conditionalFormatting>
  <conditionalFormatting sqref="E9:J98 L9:P98 R9:V98">
    <cfRule type="expression" dxfId="242" priority="13">
      <formula>$X9=2</formula>
    </cfRule>
  </conditionalFormatting>
  <conditionalFormatting sqref="E9:E98">
    <cfRule type="expression" dxfId="241" priority="10">
      <formula>E9&gt;D9</formula>
    </cfRule>
  </conditionalFormatting>
  <conditionalFormatting sqref="L9:L98">
    <cfRule type="expression" dxfId="240" priority="9">
      <formula>L9&gt;D9</formula>
    </cfRule>
  </conditionalFormatting>
  <conditionalFormatting sqref="R9:R98">
    <cfRule type="expression" dxfId="239" priority="8">
      <formula>R9&gt;D9</formula>
    </cfRule>
  </conditionalFormatting>
  <conditionalFormatting sqref="L4">
    <cfRule type="expression" dxfId="238" priority="2">
      <formula>$P$7="No"</formula>
    </cfRule>
  </conditionalFormatting>
  <conditionalFormatting sqref="R4">
    <cfRule type="expression" dxfId="237" priority="1">
      <formula>$V$7="No"</formula>
    </cfRule>
  </conditionalFormatting>
  <dataValidations count="6">
    <dataValidation type="decimal" operator="lessThanOrEqual" allowBlank="1" showInputMessage="1" showErrorMessage="1" errorTitle="Invalid entry" error="Cannot award more credits than available" sqref="E18 L18 R18 R20:R27 L20:L27 E20:E27 E31:E40 L31:L40 R31:R40 R44:R48 L44:L48 E44:E48 E52:E55 L52:L55 R52:R55 R59 L59 E59 R10:R14 E63 L63 R67:R70 L67:L70 E67:E70 E74:E78 L74:L78 R74:R78 R82:R86 L82:L86 E82:E86 E10:E14 L10:L14 E61 L61 R61 R63 R90:R97 L90:L97 E90:E97" xr:uid="{00000000-0002-0000-0100-000000000000}">
      <formula1>$D10</formula1>
    </dataValidation>
    <dataValidation allowBlank="1" showInputMessage="1" showErrorMessage="1" promptTitle="Sorting" prompt="Sort from smallest to largest to get original sorting" sqref="A8" xr:uid="{00000000-0002-0000-0100-000001000000}"/>
    <dataValidation type="list" allowBlank="1" showInputMessage="1" showErrorMessage="1" sqref="P7 V7" xr:uid="{00000000-0002-0000-0100-000002000000}">
      <formula1>AD_YesNo</formula1>
    </dataValidation>
    <dataValidation type="list" allowBlank="1" showInputMessage="1" showErrorMessage="1" sqref="R60 L19 R19 E60 L60" xr:uid="{00000000-0002-0000-0100-000003000000}">
      <formula1>$L$48:$L$49</formula1>
    </dataValidation>
    <dataValidation type="list" allowBlank="1" showInputMessage="1" showErrorMessage="1" sqref="N10:N14 T90:T97 T82:T86 T74:T78 T67:T70 T59:T63 T52:T55 T44:T48 T31:T40 N90:N97 N82:N86 N74:N78 N67:N70 N59:N63 N52:N55 N44:N48 N31:N40 I90:I97 I82:I86 I74:I78 I67:I70 I59:I63 I52:I55 I44:I48 I31:I40 T18:T27 N18:N27 I18:I27 T10:T14" xr:uid="{00000000-0002-0000-0100-000004000000}">
      <formula1>$L$42:$L$45</formula1>
    </dataValidation>
    <dataValidation type="list" operator="lessThanOrEqual" allowBlank="1" showInputMessage="1" showErrorMessage="1" errorTitle="Invalid entry" error="Cannot award more credits than available" sqref="L62 R62" xr:uid="{00000000-0002-0000-0100-000005000000}">
      <formula1>$L$48:$L$49</formula1>
    </dataValidation>
  </dataValidations>
  <pageMargins left="0.43307086614173229" right="0.19685039370078741" top="0.6692913385826772" bottom="0.59055118110236227" header="0.31496062992125984" footer="0.31496062992125984"/>
  <pageSetup paperSize="9" scale="54" fitToHeight="0" orientation="landscape" r:id="rId1"/>
  <headerFooter>
    <oddFooter xml:space="preserve">&amp;L&amp;F&amp;C&amp;D&amp;RPage &amp;P of &amp;N  </oddFooter>
  </headerFooter>
  <ignoredErrors>
    <ignoredError sqref="V5" formula="1"/>
  </ignoredErrors>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7" id="{26E8AFB8-EB8E-4549-91E2-6F0B5A9F2377}">
            <xm:f>$P$7='Assessment Details'!$N$23</xm:f>
            <x14:dxf>
              <font>
                <color theme="0"/>
              </font>
              <fill>
                <patternFill>
                  <bgColor theme="0"/>
                </patternFill>
              </fill>
              <border>
                <vertical/>
                <horizontal/>
              </border>
            </x14:dxf>
          </x14:cfRule>
          <xm:sqref>L4:P6 L8:P98</xm:sqref>
        </x14:conditionalFormatting>
        <x14:conditionalFormatting xmlns:xm="http://schemas.microsoft.com/office/excel/2006/main">
          <x14:cfRule type="expression" priority="6" id="{F07B10D0-2688-4D2D-9352-51F0145E8B48}">
            <xm:f>$P$7='Assessment Details'!$N$23</xm:f>
            <x14:dxf>
              <border>
                <left style="thin">
                  <color theme="0"/>
                </left>
                <right style="thin">
                  <color theme="0"/>
                </right>
                <top style="thin">
                  <color theme="0"/>
                </top>
                <bottom style="thin">
                  <color theme="0"/>
                </bottom>
                <vertical/>
                <horizontal/>
              </border>
            </x14:dxf>
          </x14:cfRule>
          <xm:sqref>L8:P98</xm:sqref>
        </x14:conditionalFormatting>
        <x14:conditionalFormatting xmlns:xm="http://schemas.microsoft.com/office/excel/2006/main">
          <x14:cfRule type="expression" priority="5" id="{1A60305C-32B7-4D4F-9804-69A16324B9A7}">
            <xm:f>$P$7='Assessment Details'!$N$23</xm:f>
            <x14:dxf>
              <border>
                <vertical/>
                <horizontal/>
              </border>
            </x14:dxf>
          </x14:cfRule>
          <xm:sqref>L8:P8</xm:sqref>
        </x14:conditionalFormatting>
        <x14:conditionalFormatting xmlns:xm="http://schemas.microsoft.com/office/excel/2006/main">
          <x14:cfRule type="expression" priority="4" id="{1B653B29-3D42-40C1-932B-B69CCB31110E}">
            <xm:f>$V$7='Assessment Details'!$N$23</xm:f>
            <x14:dxf>
              <font>
                <color theme="0"/>
              </font>
              <fill>
                <patternFill>
                  <bgColor theme="0"/>
                </patternFill>
              </fill>
            </x14:dxf>
          </x14:cfRule>
          <xm:sqref>R4:V6 R8:V98</xm:sqref>
        </x14:conditionalFormatting>
        <x14:conditionalFormatting xmlns:xm="http://schemas.microsoft.com/office/excel/2006/main">
          <x14:cfRule type="expression" priority="3" id="{EF72BBD8-21BF-47F9-A216-8FDC90D5599B}">
            <xm:f>$V$7='Assessment Details'!$N$23</xm:f>
            <x14:dxf>
              <border>
                <left style="thin">
                  <color theme="0"/>
                </left>
                <right style="thin">
                  <color theme="0"/>
                </right>
                <top style="thin">
                  <color theme="0"/>
                </top>
                <bottom style="thin">
                  <color theme="0"/>
                </bottom>
                <vertical/>
                <horizontal/>
              </border>
            </x14:dxf>
          </x14:cfRule>
          <xm:sqref>R8:V98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6000000}">
          <x14:formula1>
            <xm:f>'Assessment Details'!$L$51:$L$52</xm:f>
          </x14:formula1>
          <xm:sqref>E19</xm:sqref>
        </x14:dataValidation>
        <x14:dataValidation type="list" allowBlank="1" showInputMessage="1" showErrorMessage="1" xr:uid="{00000000-0002-0000-0100-000007000000}">
          <x14:formula1>
            <xm:f>'Assessment Details'!$L$45:$L$48</xm:f>
          </x14:formula1>
          <xm:sqref>I10:I14</xm:sqref>
        </x14:dataValidation>
        <x14:dataValidation type="list" operator="lessThanOrEqual" allowBlank="1" showInputMessage="1" showErrorMessage="1" errorTitle="Invalid entry" error="Cannot award more credits than available" xr:uid="{00000000-0002-0000-0100-000008000000}">
          <x14:formula1>
            <xm:f>'Assessment Details'!$L$51:$L$52</xm:f>
          </x14:formula1>
          <xm:sqref>E62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1:U186"/>
  <sheetViews>
    <sheetView showGridLines="0" zoomScaleNormal="100" zoomScalePageLayoutView="90" workbookViewId="0">
      <pane ySplit="3" topLeftCell="A4" activePane="bottomLeft" state="frozen"/>
      <selection pane="bottomLeft" activeCell="V14" sqref="V14"/>
    </sheetView>
  </sheetViews>
  <sheetFormatPr defaultColWidth="9.140625" defaultRowHeight="15" x14ac:dyDescent="0.25"/>
  <cols>
    <col min="1" max="1" width="2.5703125" style="971" customWidth="1"/>
    <col min="2" max="2" width="37.42578125" style="971" customWidth="1"/>
    <col min="3" max="3" width="63" style="971" customWidth="1"/>
    <col min="4" max="4" width="5.5703125" style="971" customWidth="1"/>
    <col min="5" max="5" width="102.5703125" style="971" customWidth="1"/>
    <col min="6" max="6" width="52.5703125" style="971" bestFit="1" customWidth="1"/>
    <col min="7" max="7" width="7.42578125" style="971" customWidth="1"/>
    <col min="8" max="9" width="17" style="971" hidden="1" customWidth="1"/>
    <col min="10" max="10" width="30.85546875" style="971" hidden="1" customWidth="1"/>
    <col min="11" max="11" width="16.5703125" style="971" hidden="1" customWidth="1"/>
    <col min="12" max="12" width="60.140625" style="971" hidden="1" customWidth="1"/>
    <col min="13" max="13" width="6.140625" style="971" hidden="1" customWidth="1"/>
    <col min="14" max="14" width="74.5703125" style="971" hidden="1" customWidth="1"/>
    <col min="15" max="15" width="31.140625" style="971" hidden="1" customWidth="1"/>
    <col min="16" max="16" width="41.140625" style="971" hidden="1" customWidth="1"/>
    <col min="17" max="17" width="32" style="971" hidden="1" customWidth="1"/>
    <col min="18" max="19" width="30.42578125" style="971" hidden="1" customWidth="1"/>
    <col min="20" max="20" width="45.5703125" style="971" hidden="1" customWidth="1"/>
    <col min="21" max="21" width="9.140625" style="971" hidden="1" customWidth="1"/>
    <col min="22" max="22" width="9.140625" style="971" customWidth="1"/>
    <col min="23" max="16384" width="9.140625" style="971"/>
  </cols>
  <sheetData>
    <row r="1" spans="2:21" s="1" customFormat="1" x14ac:dyDescent="0.25">
      <c r="B1" s="966"/>
      <c r="C1" s="966"/>
      <c r="E1" s="2"/>
      <c r="G1" s="971"/>
      <c r="L1" s="20"/>
      <c r="M1" s="20"/>
      <c r="N1" s="20"/>
      <c r="O1" s="20"/>
      <c r="P1" s="20"/>
      <c r="Q1" s="20"/>
      <c r="R1" s="20"/>
      <c r="S1" s="20"/>
    </row>
    <row r="2" spans="2:21" s="1" customFormat="1" ht="35.25" customHeight="1" x14ac:dyDescent="0.25">
      <c r="B2" s="972" t="s">
        <v>963</v>
      </c>
      <c r="C2" s="973"/>
      <c r="D2" s="973"/>
      <c r="E2" s="973"/>
      <c r="F2" s="1241" t="str">
        <f>IF('Manuell filtrering og justering'!H2='Manuell filtrering og justering'!I2,"Bespoke","")</f>
        <v/>
      </c>
      <c r="G2" s="971"/>
      <c r="L2" s="20"/>
      <c r="M2" s="20"/>
      <c r="N2" s="20"/>
      <c r="O2" s="20"/>
      <c r="P2" s="20"/>
      <c r="Q2" s="20"/>
      <c r="R2" s="20"/>
      <c r="S2" s="20"/>
    </row>
    <row r="3" spans="2:21" s="1" customFormat="1" x14ac:dyDescent="0.25">
      <c r="B3" s="974"/>
      <c r="C3" s="974"/>
      <c r="E3" s="2"/>
      <c r="F3" s="460"/>
      <c r="G3" s="971"/>
      <c r="L3" s="20"/>
      <c r="M3" s="20"/>
      <c r="N3" s="20"/>
      <c r="O3" s="20"/>
      <c r="P3" s="20"/>
      <c r="Q3" s="20"/>
      <c r="R3" s="20"/>
      <c r="S3" s="20"/>
    </row>
    <row r="4" spans="2:21" s="1" customFormat="1" ht="18.75" x14ac:dyDescent="0.3">
      <c r="B4" s="21" t="s">
        <v>52</v>
      </c>
      <c r="C4" s="9"/>
      <c r="E4" s="21" t="s">
        <v>22</v>
      </c>
      <c r="F4" s="21"/>
      <c r="G4" s="971"/>
      <c r="I4" s="15"/>
      <c r="J4" s="15"/>
      <c r="K4" s="15"/>
      <c r="L4" s="20"/>
      <c r="M4" s="20"/>
      <c r="N4" s="20"/>
      <c r="O4" s="20"/>
      <c r="P4" s="20"/>
      <c r="Q4" s="20"/>
      <c r="R4" s="20"/>
      <c r="S4" s="20"/>
    </row>
    <row r="5" spans="2:21" s="1" customFormat="1" ht="15.75" x14ac:dyDescent="0.25">
      <c r="B5" s="975" t="s">
        <v>18</v>
      </c>
      <c r="C5" s="1079"/>
      <c r="D5" s="971"/>
      <c r="E5" s="977" t="s">
        <v>56</v>
      </c>
      <c r="F5" s="976" t="s">
        <v>32</v>
      </c>
      <c r="G5" s="971"/>
      <c r="H5" s="971"/>
      <c r="I5" s="59"/>
      <c r="J5" s="131" t="str">
        <f>IF('Manuell filtrering og justering'!H2='Manuell filtrering og justering'!I2,'Manuell filtrering og justering'!G2,"Industrial")</f>
        <v>Industrial</v>
      </c>
      <c r="K5" s="15"/>
      <c r="L5" s="131" t="str">
        <f t="shared" ref="L5:L13" si="0">IF(HLOOKUP(ADBT0,$O$5:$T$14,U6,FALSE)=0,"",HLOOKUP(ADBT0,$O$5:$T$14,U6,FALSE))</f>
        <v>General office building</v>
      </c>
      <c r="M5" s="20"/>
      <c r="N5" s="131" t="s">
        <v>46</v>
      </c>
      <c r="O5" s="129" t="s">
        <v>33</v>
      </c>
      <c r="P5" s="129" t="s">
        <v>32</v>
      </c>
      <c r="Q5" s="129" t="s">
        <v>34</v>
      </c>
      <c r="R5" s="129" t="s">
        <v>35</v>
      </c>
      <c r="S5" s="129" t="s">
        <v>11</v>
      </c>
      <c r="T5" s="703" t="s">
        <v>1167</v>
      </c>
      <c r="U5" s="1">
        <v>1</v>
      </c>
    </row>
    <row r="6" spans="2:21" s="1" customFormat="1" ht="15.75" x14ac:dyDescent="0.25">
      <c r="B6" s="978" t="s">
        <v>19</v>
      </c>
      <c r="C6" s="1079"/>
      <c r="D6" s="971"/>
      <c r="E6" s="979" t="s">
        <v>25</v>
      </c>
      <c r="F6" s="980" t="s">
        <v>992</v>
      </c>
      <c r="G6" s="971"/>
      <c r="H6" s="971"/>
      <c r="I6" s="59"/>
      <c r="J6" s="131" t="str">
        <f>IF('Manuell filtrering og justering'!H2='Manuell filtrering og justering'!I2,"","Office")</f>
        <v>Office</v>
      </c>
      <c r="K6" s="15"/>
      <c r="L6" s="131" t="str">
        <f t="shared" si="0"/>
        <v>Office with research and development areas</v>
      </c>
      <c r="M6" s="20"/>
      <c r="N6" s="20"/>
      <c r="O6" s="20" t="s">
        <v>991</v>
      </c>
      <c r="P6" s="20" t="s">
        <v>992</v>
      </c>
      <c r="Q6" s="20" t="s">
        <v>993</v>
      </c>
      <c r="R6" s="20" t="s">
        <v>1151</v>
      </c>
      <c r="S6" s="20" t="s">
        <v>994</v>
      </c>
      <c r="T6" s="1" t="s">
        <v>1167</v>
      </c>
      <c r="U6" s="1">
        <v>2</v>
      </c>
    </row>
    <row r="7" spans="2:21" s="1" customFormat="1" ht="15.75" x14ac:dyDescent="0.25">
      <c r="B7" s="978" t="s">
        <v>20</v>
      </c>
      <c r="C7" s="1079"/>
      <c r="D7" s="971"/>
      <c r="E7" s="979" t="s">
        <v>26</v>
      </c>
      <c r="F7" s="980" t="s">
        <v>39</v>
      </c>
      <c r="G7" s="971"/>
      <c r="H7" s="971"/>
      <c r="I7" s="59"/>
      <c r="J7" s="131" t="str">
        <f>IF('Manuell filtrering og justering'!H2='Manuell filtrering og justering'!I2,"","Retail")</f>
        <v>Retail</v>
      </c>
      <c r="K7" s="15"/>
      <c r="L7" s="131" t="str">
        <f t="shared" si="0"/>
        <v/>
      </c>
      <c r="M7" s="20"/>
      <c r="N7" s="20"/>
      <c r="O7" s="20" t="s">
        <v>995</v>
      </c>
      <c r="P7" s="20" t="s">
        <v>996</v>
      </c>
      <c r="Q7" s="20" t="s">
        <v>997</v>
      </c>
      <c r="R7" s="20" t="s">
        <v>1152</v>
      </c>
      <c r="S7" s="20" t="s">
        <v>998</v>
      </c>
      <c r="U7" s="1">
        <v>3</v>
      </c>
    </row>
    <row r="8" spans="2:21" s="1" customFormat="1" ht="15.75" x14ac:dyDescent="0.25">
      <c r="B8" s="978" t="s">
        <v>21</v>
      </c>
      <c r="C8" s="1079"/>
      <c r="D8" s="971"/>
      <c r="E8" s="979" t="s">
        <v>27</v>
      </c>
      <c r="F8" s="980" t="s">
        <v>87</v>
      </c>
      <c r="G8" s="971"/>
      <c r="H8" s="971"/>
      <c r="I8" s="59"/>
      <c r="J8" s="131" t="str">
        <f>IF('Manuell filtrering og justering'!H2='Manuell filtrering og justering'!I2,"","Education")</f>
        <v>Education</v>
      </c>
      <c r="K8" s="15"/>
      <c r="L8" s="131" t="str">
        <f t="shared" si="0"/>
        <v/>
      </c>
      <c r="M8" s="20"/>
      <c r="N8" s="42" t="s">
        <v>987</v>
      </c>
      <c r="O8" s="20" t="s">
        <v>999</v>
      </c>
      <c r="P8" s="20"/>
      <c r="Q8" s="20" t="s">
        <v>1000</v>
      </c>
      <c r="R8" s="20"/>
      <c r="S8" s="20" t="s">
        <v>1001</v>
      </c>
      <c r="U8" s="1">
        <v>4</v>
      </c>
    </row>
    <row r="9" spans="2:21" s="1" customFormat="1" ht="15.75" x14ac:dyDescent="0.25">
      <c r="B9" s="978" t="s">
        <v>45</v>
      </c>
      <c r="C9" s="1079"/>
      <c r="D9" s="971"/>
      <c r="E9" s="979" t="s">
        <v>985</v>
      </c>
      <c r="F9" s="981" t="s">
        <v>46</v>
      </c>
      <c r="G9" s="971"/>
      <c r="H9" s="971"/>
      <c r="I9" s="59"/>
      <c r="J9" s="131" t="str">
        <f>IF('Manuell filtrering og justering'!H2='Manuell filtrering og justering'!I2,"","Residential")</f>
        <v>Residential</v>
      </c>
      <c r="K9" s="15"/>
      <c r="L9" s="131" t="str">
        <f t="shared" si="0"/>
        <v/>
      </c>
      <c r="M9" s="20"/>
      <c r="N9" s="20"/>
      <c r="O9" s="20"/>
      <c r="P9" s="20"/>
      <c r="Q9" s="20" t="s">
        <v>1002</v>
      </c>
      <c r="R9" s="20"/>
      <c r="S9" s="20"/>
      <c r="U9" s="1">
        <v>5</v>
      </c>
    </row>
    <row r="10" spans="2:21" s="1" customFormat="1" ht="15.75" x14ac:dyDescent="0.25">
      <c r="B10" s="982" t="s">
        <v>214</v>
      </c>
      <c r="C10" s="1079"/>
      <c r="D10" s="971"/>
      <c r="E10" s="983" t="s">
        <v>986</v>
      </c>
      <c r="F10" s="981" t="s">
        <v>987</v>
      </c>
      <c r="G10" s="971"/>
      <c r="H10" s="971"/>
      <c r="I10" s="59"/>
      <c r="K10" s="15"/>
      <c r="L10" s="131" t="str">
        <f t="shared" si="0"/>
        <v/>
      </c>
      <c r="M10" s="20"/>
      <c r="N10" s="20"/>
      <c r="O10" s="20"/>
      <c r="P10" s="20"/>
      <c r="Q10" s="20" t="s">
        <v>1003</v>
      </c>
      <c r="R10" s="20"/>
      <c r="S10" s="20"/>
      <c r="U10" s="1">
        <v>6</v>
      </c>
    </row>
    <row r="11" spans="2:21" s="1" customFormat="1" ht="15.75" x14ac:dyDescent="0.25">
      <c r="C11" s="178"/>
      <c r="E11" s="984"/>
      <c r="F11" s="405"/>
      <c r="G11" s="971"/>
      <c r="H11" s="971"/>
      <c r="I11" s="59"/>
      <c r="J11" s="971"/>
      <c r="K11" s="15"/>
      <c r="L11" s="131" t="str">
        <f t="shared" si="0"/>
        <v/>
      </c>
      <c r="M11" s="20"/>
      <c r="N11" s="131" t="s">
        <v>39</v>
      </c>
      <c r="O11" s="20"/>
      <c r="P11" s="20"/>
      <c r="Q11" s="20" t="s">
        <v>1004</v>
      </c>
      <c r="R11" s="20"/>
      <c r="S11" s="20"/>
      <c r="U11" s="1">
        <v>7</v>
      </c>
    </row>
    <row r="12" spans="2:21" s="1" customFormat="1" ht="15" customHeight="1" x14ac:dyDescent="0.3">
      <c r="B12" s="21" t="s">
        <v>22</v>
      </c>
      <c r="C12" s="1080"/>
      <c r="E12" s="985" t="s">
        <v>332</v>
      </c>
      <c r="F12" s="1081"/>
      <c r="G12" s="971"/>
      <c r="H12" s="971"/>
      <c r="I12" s="59"/>
      <c r="J12" s="15"/>
      <c r="K12" s="15"/>
      <c r="L12" s="131" t="str">
        <f t="shared" si="0"/>
        <v/>
      </c>
      <c r="M12" s="20"/>
      <c r="N12" s="131" t="s">
        <v>37</v>
      </c>
      <c r="O12" s="20"/>
      <c r="P12" s="20"/>
      <c r="Q12" s="20" t="s">
        <v>1005</v>
      </c>
      <c r="R12" s="20"/>
      <c r="S12" s="20"/>
      <c r="U12" s="1">
        <v>8</v>
      </c>
    </row>
    <row r="13" spans="2:21" s="1" customFormat="1" ht="17.25" x14ac:dyDescent="0.25">
      <c r="B13" s="975" t="s">
        <v>23</v>
      </c>
      <c r="C13" s="1081"/>
      <c r="E13" s="978" t="s">
        <v>331</v>
      </c>
      <c r="F13" s="1081"/>
      <c r="G13" s="971"/>
      <c r="H13" s="971"/>
      <c r="I13" s="59"/>
      <c r="K13" s="15"/>
      <c r="L13" s="131" t="str">
        <f t="shared" si="0"/>
        <v/>
      </c>
      <c r="M13" s="20"/>
      <c r="N13" s="131" t="s">
        <v>40</v>
      </c>
      <c r="O13" s="20"/>
      <c r="P13" s="20"/>
      <c r="Q13" s="20" t="s">
        <v>1006</v>
      </c>
      <c r="R13" s="20"/>
      <c r="S13" s="20"/>
      <c r="U13" s="1">
        <v>9</v>
      </c>
    </row>
    <row r="14" spans="2:21" s="1" customFormat="1" ht="17.25" x14ac:dyDescent="0.25">
      <c r="B14" s="986" t="s">
        <v>24</v>
      </c>
      <c r="C14" s="1082"/>
      <c r="E14" s="982" t="s">
        <v>333</v>
      </c>
      <c r="F14" s="1081"/>
      <c r="G14" s="971"/>
      <c r="H14" s="971"/>
      <c r="I14" s="59"/>
      <c r="K14" s="15"/>
      <c r="L14" s="971"/>
      <c r="M14" s="20"/>
      <c r="N14" s="131" t="s">
        <v>38</v>
      </c>
      <c r="O14" s="20"/>
      <c r="P14" s="20"/>
      <c r="Q14" s="20" t="s">
        <v>1007</v>
      </c>
      <c r="R14" s="20"/>
      <c r="S14" s="20"/>
      <c r="U14" s="1">
        <v>10</v>
      </c>
    </row>
    <row r="15" spans="2:21" s="1" customFormat="1" ht="16.5" customHeight="1" x14ac:dyDescent="0.25">
      <c r="B15" s="987"/>
      <c r="C15" s="1083"/>
      <c r="E15" s="989"/>
      <c r="F15" s="990"/>
      <c r="G15" s="971"/>
      <c r="H15" s="2"/>
      <c r="I15" s="59"/>
      <c r="K15" s="15"/>
      <c r="L15" s="971"/>
      <c r="M15" s="20"/>
      <c r="O15" s="20"/>
      <c r="P15" s="20"/>
      <c r="Q15" s="20"/>
      <c r="R15" s="20"/>
      <c r="S15" s="20"/>
      <c r="U15" s="1">
        <v>11</v>
      </c>
    </row>
    <row r="16" spans="2:21" s="1" customFormat="1" ht="15.75" x14ac:dyDescent="0.25">
      <c r="B16" s="991"/>
      <c r="C16" s="1084"/>
      <c r="E16" s="977" t="s">
        <v>1086</v>
      </c>
      <c r="F16" s="981" t="s">
        <v>15</v>
      </c>
      <c r="G16" s="971"/>
      <c r="H16" s="78" t="s">
        <v>288</v>
      </c>
      <c r="I16" s="59"/>
      <c r="K16" s="15"/>
      <c r="L16" s="971"/>
      <c r="M16" s="20"/>
      <c r="N16" s="20"/>
      <c r="O16" s="20"/>
      <c r="P16" s="20"/>
      <c r="Q16" s="20"/>
      <c r="R16" s="20"/>
      <c r="S16" s="20"/>
      <c r="U16" s="1">
        <v>12</v>
      </c>
    </row>
    <row r="17" spans="2:21" s="1" customFormat="1" ht="15.75" x14ac:dyDescent="0.25">
      <c r="B17" s="992"/>
      <c r="C17" s="1085"/>
      <c r="E17" s="979" t="s">
        <v>1087</v>
      </c>
      <c r="F17" s="981" t="s">
        <v>15</v>
      </c>
      <c r="G17" s="971"/>
      <c r="H17" s="78" t="s">
        <v>289</v>
      </c>
      <c r="I17" s="59"/>
      <c r="K17" s="15"/>
      <c r="L17" s="971"/>
      <c r="M17" s="20"/>
      <c r="N17" s="20"/>
      <c r="O17" s="20"/>
      <c r="P17" s="20"/>
      <c r="Q17" s="20"/>
      <c r="R17" s="20"/>
      <c r="S17" s="20"/>
      <c r="U17" s="1">
        <v>13</v>
      </c>
    </row>
    <row r="18" spans="2:21" s="1" customFormat="1" ht="15.75" x14ac:dyDescent="0.25">
      <c r="B18" s="978" t="s">
        <v>215</v>
      </c>
      <c r="C18" s="1086"/>
      <c r="E18" s="979" t="s">
        <v>1146</v>
      </c>
      <c r="F18" s="980" t="s">
        <v>14</v>
      </c>
      <c r="G18" s="971"/>
      <c r="H18" s="78" t="s">
        <v>290</v>
      </c>
      <c r="I18" s="59"/>
      <c r="K18" s="15"/>
      <c r="L18" s="971"/>
      <c r="M18" s="20"/>
      <c r="N18" s="131" t="s">
        <v>87</v>
      </c>
      <c r="O18" s="20"/>
      <c r="P18" s="20"/>
      <c r="Q18" s="20"/>
      <c r="R18" s="20"/>
      <c r="S18" s="20"/>
    </row>
    <row r="19" spans="2:21" s="1" customFormat="1" ht="15.75" x14ac:dyDescent="0.25">
      <c r="B19" s="978" t="s">
        <v>216</v>
      </c>
      <c r="C19" s="1087"/>
      <c r="E19" s="979" t="s">
        <v>309</v>
      </c>
      <c r="F19" s="988" t="s">
        <v>15</v>
      </c>
      <c r="G19" s="971"/>
      <c r="H19" s="78" t="s">
        <v>292</v>
      </c>
      <c r="I19" s="59"/>
      <c r="J19" s="15"/>
      <c r="K19" s="15"/>
      <c r="L19" s="971"/>
      <c r="M19" s="20"/>
      <c r="N19" s="131" t="s">
        <v>1010</v>
      </c>
      <c r="O19" s="20" t="s">
        <v>36</v>
      </c>
      <c r="P19" s="20"/>
      <c r="Q19" s="20"/>
      <c r="R19" s="20"/>
      <c r="S19" s="20"/>
    </row>
    <row r="20" spans="2:21" s="1" customFormat="1" ht="15.75" x14ac:dyDescent="0.25">
      <c r="B20" s="982" t="s">
        <v>217</v>
      </c>
      <c r="C20" s="1087"/>
      <c r="E20" s="979" t="s">
        <v>310</v>
      </c>
      <c r="F20" s="980" t="s">
        <v>15</v>
      </c>
      <c r="G20" s="971"/>
      <c r="H20" s="78" t="s">
        <v>238</v>
      </c>
      <c r="I20" s="59"/>
      <c r="J20" s="15"/>
      <c r="K20" s="15"/>
      <c r="L20" s="971"/>
      <c r="M20" s="20"/>
      <c r="N20" s="131" t="s">
        <v>1011</v>
      </c>
      <c r="O20" s="20"/>
      <c r="P20" s="20"/>
      <c r="Q20" s="20"/>
      <c r="R20" s="20"/>
      <c r="S20" s="20"/>
    </row>
    <row r="21" spans="2:21" s="1" customFormat="1" ht="15.75" x14ac:dyDescent="0.25">
      <c r="C21" s="180"/>
      <c r="E21" s="979" t="s">
        <v>311</v>
      </c>
      <c r="F21" s="980" t="s">
        <v>41</v>
      </c>
      <c r="G21" s="971"/>
      <c r="H21" s="78" t="s">
        <v>238</v>
      </c>
      <c r="I21" s="59"/>
      <c r="J21" s="15"/>
      <c r="K21" s="15"/>
      <c r="M21" s="20"/>
      <c r="N21" s="20"/>
      <c r="O21" s="20"/>
      <c r="P21" s="20"/>
      <c r="Q21" s="20"/>
      <c r="R21" s="20"/>
      <c r="S21" s="20"/>
    </row>
    <row r="22" spans="2:21" s="1" customFormat="1" ht="15" customHeight="1" x14ac:dyDescent="0.3">
      <c r="B22" s="21" t="s">
        <v>28</v>
      </c>
      <c r="C22" s="1088"/>
      <c r="E22" s="979" t="s">
        <v>312</v>
      </c>
      <c r="F22" s="980" t="s">
        <v>44</v>
      </c>
      <c r="G22" s="971"/>
      <c r="H22" s="176" t="s">
        <v>284</v>
      </c>
      <c r="I22" s="59"/>
      <c r="J22" s="15"/>
      <c r="K22" s="15" t="s">
        <v>301</v>
      </c>
      <c r="L22" s="20"/>
      <c r="M22" s="20"/>
      <c r="N22" s="131" t="s">
        <v>14</v>
      </c>
      <c r="O22" s="20"/>
      <c r="P22" s="20"/>
      <c r="Q22" s="20"/>
      <c r="R22" s="20"/>
      <c r="S22" s="20"/>
    </row>
    <row r="23" spans="2:21" s="1" customFormat="1" ht="15" customHeight="1" x14ac:dyDescent="0.25">
      <c r="B23" s="993" t="s">
        <v>29</v>
      </c>
      <c r="C23" s="1079"/>
      <c r="E23" s="994" t="s">
        <v>314</v>
      </c>
      <c r="F23" s="980" t="s">
        <v>14</v>
      </c>
      <c r="H23" s="78" t="s">
        <v>238</v>
      </c>
      <c r="I23" s="59"/>
      <c r="J23" s="15"/>
      <c r="K23" s="15"/>
      <c r="L23" s="20"/>
      <c r="M23" s="20"/>
      <c r="N23" s="131" t="s">
        <v>15</v>
      </c>
      <c r="O23" s="20"/>
      <c r="P23" s="20"/>
      <c r="Q23" s="20"/>
      <c r="R23" s="20"/>
      <c r="S23" s="20"/>
    </row>
    <row r="24" spans="2:21" s="1" customFormat="1" ht="15" customHeight="1" x14ac:dyDescent="0.25">
      <c r="B24" s="995" t="s">
        <v>30</v>
      </c>
      <c r="C24" s="1079"/>
      <c r="E24" s="996" t="s">
        <v>315</v>
      </c>
      <c r="F24" s="980" t="s">
        <v>360</v>
      </c>
      <c r="G24" s="971"/>
      <c r="H24" s="78" t="s">
        <v>238</v>
      </c>
      <c r="I24" s="59"/>
      <c r="J24" s="15"/>
      <c r="K24" s="15"/>
      <c r="L24" s="997" t="s">
        <v>295</v>
      </c>
      <c r="M24" s="20"/>
      <c r="N24" s="131" t="s">
        <v>51</v>
      </c>
      <c r="O24" s="20"/>
      <c r="P24" s="20"/>
      <c r="Q24" s="20"/>
      <c r="R24" s="20"/>
      <c r="S24" s="20"/>
    </row>
    <row r="25" spans="2:21" s="1" customFormat="1" ht="15" customHeight="1" x14ac:dyDescent="0.25">
      <c r="B25" s="995" t="s">
        <v>286</v>
      </c>
      <c r="C25" s="1079"/>
      <c r="E25" s="979" t="s">
        <v>317</v>
      </c>
      <c r="F25" s="980" t="s">
        <v>15</v>
      </c>
      <c r="G25" s="971"/>
      <c r="H25" s="78" t="s">
        <v>300</v>
      </c>
      <c r="I25" s="59"/>
      <c r="J25" s="15"/>
      <c r="K25" s="15"/>
      <c r="L25" s="997" t="s">
        <v>293</v>
      </c>
      <c r="M25" s="20"/>
      <c r="N25" s="20"/>
      <c r="O25" s="20"/>
      <c r="P25" s="20"/>
      <c r="Q25" s="20"/>
      <c r="R25" s="20"/>
      <c r="S25" s="20"/>
    </row>
    <row r="26" spans="2:21" s="1" customFormat="1" ht="15.75" x14ac:dyDescent="0.25">
      <c r="B26" s="995" t="s">
        <v>31</v>
      </c>
      <c r="C26" s="1079"/>
      <c r="E26" s="983" t="s">
        <v>318</v>
      </c>
      <c r="F26" s="980" t="s">
        <v>15</v>
      </c>
      <c r="G26" s="971"/>
      <c r="H26" s="78" t="s">
        <v>238</v>
      </c>
      <c r="I26" s="59"/>
      <c r="J26" s="15"/>
      <c r="K26" s="15"/>
      <c r="L26" s="997" t="s">
        <v>296</v>
      </c>
      <c r="M26" s="20"/>
      <c r="N26" s="131" t="s">
        <v>319</v>
      </c>
      <c r="O26" s="20"/>
      <c r="P26" s="20"/>
      <c r="Q26" s="20"/>
      <c r="R26" s="20"/>
      <c r="S26" s="20"/>
    </row>
    <row r="27" spans="2:21" s="1" customFormat="1" ht="15.75" x14ac:dyDescent="0.25">
      <c r="B27" s="995" t="s">
        <v>984</v>
      </c>
      <c r="C27" s="1079"/>
      <c r="E27" s="998"/>
      <c r="F27" s="405"/>
      <c r="G27" s="971"/>
      <c r="H27" s="78" t="s">
        <v>238</v>
      </c>
      <c r="I27" s="61"/>
      <c r="J27" s="15"/>
      <c r="K27" s="15"/>
      <c r="L27" s="997" t="s">
        <v>297</v>
      </c>
      <c r="M27" s="20"/>
      <c r="N27" s="131" t="s">
        <v>320</v>
      </c>
      <c r="O27" s="20"/>
      <c r="P27" s="20"/>
      <c r="Q27" s="20"/>
      <c r="R27" s="20"/>
      <c r="S27" s="20"/>
    </row>
    <row r="28" spans="2:21" s="1" customFormat="1" ht="15.75" x14ac:dyDescent="0.25">
      <c r="B28" s="995" t="s">
        <v>978</v>
      </c>
      <c r="C28" s="1079"/>
      <c r="E28" s="3"/>
      <c r="F28" s="405"/>
      <c r="G28" s="971"/>
      <c r="I28" s="61"/>
      <c r="J28" s="15"/>
      <c r="K28" s="15"/>
      <c r="L28" s="997" t="s">
        <v>298</v>
      </c>
      <c r="M28" s="20"/>
      <c r="N28" s="131" t="s">
        <v>321</v>
      </c>
      <c r="O28" s="20"/>
      <c r="P28" s="20"/>
      <c r="Q28" s="20"/>
      <c r="R28" s="20"/>
      <c r="S28" s="20"/>
    </row>
    <row r="29" spans="2:21" s="1" customFormat="1" ht="15.75" x14ac:dyDescent="0.25">
      <c r="B29" s="995" t="s">
        <v>979</v>
      </c>
      <c r="C29" s="1079"/>
      <c r="E29" s="9"/>
      <c r="F29" s="990"/>
      <c r="G29" s="971"/>
      <c r="J29" s="15"/>
      <c r="K29" s="15"/>
      <c r="L29" s="997" t="s">
        <v>294</v>
      </c>
      <c r="M29" s="20"/>
      <c r="N29" s="131" t="s">
        <v>41</v>
      </c>
      <c r="O29" s="20"/>
      <c r="P29" s="20"/>
      <c r="Q29" s="20"/>
      <c r="R29" s="20"/>
      <c r="S29" s="20"/>
    </row>
    <row r="30" spans="2:21" s="1" customFormat="1" ht="15.75" x14ac:dyDescent="0.25">
      <c r="B30" s="995" t="s">
        <v>980</v>
      </c>
      <c r="C30" s="1079"/>
      <c r="E30" s="999" t="s">
        <v>307</v>
      </c>
      <c r="F30" s="1000">
        <f>Poeng_tot</f>
        <v>142</v>
      </c>
      <c r="G30" s="971"/>
      <c r="H30" s="2"/>
      <c r="I30" s="61"/>
      <c r="J30" s="15"/>
      <c r="K30" s="15"/>
      <c r="L30" s="997" t="s">
        <v>299</v>
      </c>
      <c r="M30" s="20"/>
      <c r="N30" s="971"/>
      <c r="O30" s="20"/>
      <c r="P30" s="20"/>
      <c r="Q30" s="20"/>
      <c r="R30" s="20"/>
      <c r="S30" s="20"/>
    </row>
    <row r="31" spans="2:21" s="1" customFormat="1" ht="15.75" x14ac:dyDescent="0.25">
      <c r="B31" s="995" t="s">
        <v>981</v>
      </c>
      <c r="C31" s="1079"/>
      <c r="E31" s="979" t="s">
        <v>308</v>
      </c>
      <c r="F31" s="1000">
        <f>Poeng_bort</f>
        <v>13</v>
      </c>
      <c r="G31" s="971"/>
      <c r="H31" s="2"/>
      <c r="I31" s="61"/>
      <c r="J31" s="15"/>
      <c r="K31" s="15"/>
      <c r="L31" s="20"/>
      <c r="M31" s="20"/>
      <c r="N31" s="131" t="s">
        <v>44</v>
      </c>
      <c r="O31" s="20"/>
      <c r="P31" s="20"/>
      <c r="Q31" s="20"/>
      <c r="R31" s="20"/>
      <c r="S31" s="20"/>
    </row>
    <row r="32" spans="2:21" s="1" customFormat="1" ht="15.75" x14ac:dyDescent="0.25">
      <c r="B32" s="1001" t="s">
        <v>1148</v>
      </c>
      <c r="C32" s="1079"/>
      <c r="E32" s="1002" t="s">
        <v>68</v>
      </c>
      <c r="F32" s="1000">
        <f>Poeng_tilgj</f>
        <v>129</v>
      </c>
      <c r="G32" s="971"/>
      <c r="H32" s="2"/>
      <c r="I32" s="61"/>
      <c r="J32" s="16"/>
      <c r="K32" s="16"/>
      <c r="L32" s="20"/>
      <c r="M32" s="20"/>
      <c r="N32" s="131" t="s">
        <v>42</v>
      </c>
      <c r="O32" s="20"/>
      <c r="P32" s="20"/>
      <c r="Q32" s="20"/>
      <c r="R32" s="20"/>
      <c r="S32" s="20"/>
    </row>
    <row r="33" spans="2:19" s="1" customFormat="1" ht="15.75" x14ac:dyDescent="0.25">
      <c r="G33" s="971"/>
      <c r="H33" s="12"/>
      <c r="I33" s="59"/>
      <c r="J33" s="16"/>
      <c r="K33" s="16"/>
      <c r="L33" s="133" t="s">
        <v>1252</v>
      </c>
      <c r="M33" s="20"/>
      <c r="N33" s="131" t="s">
        <v>43</v>
      </c>
      <c r="O33" s="20"/>
      <c r="P33" s="20"/>
      <c r="Q33" s="20"/>
      <c r="R33" s="20"/>
      <c r="S33" s="20"/>
    </row>
    <row r="34" spans="2:19" s="1" customFormat="1" ht="18.75" x14ac:dyDescent="0.3">
      <c r="B34" s="1003" t="s">
        <v>1216</v>
      </c>
      <c r="E34" s="1003" t="s">
        <v>1219</v>
      </c>
      <c r="G34" s="971"/>
      <c r="H34" s="12"/>
      <c r="I34" s="59"/>
      <c r="J34" s="16"/>
      <c r="K34" s="16"/>
      <c r="L34" s="133" t="s">
        <v>302</v>
      </c>
      <c r="M34" s="20"/>
      <c r="N34" s="134"/>
      <c r="O34" s="20"/>
      <c r="P34" s="20"/>
      <c r="Q34" s="20"/>
      <c r="R34" s="20"/>
      <c r="S34" s="20"/>
    </row>
    <row r="35" spans="2:19" s="1" customFormat="1" ht="79.5" customHeight="1" x14ac:dyDescent="0.25">
      <c r="B35" s="1349"/>
      <c r="C35" s="1350"/>
      <c r="E35" s="1349"/>
      <c r="F35" s="1350"/>
      <c r="G35" s="971"/>
      <c r="H35" s="12"/>
      <c r="I35" s="59"/>
      <c r="J35" s="16"/>
      <c r="K35" s="16"/>
      <c r="L35" s="133"/>
      <c r="M35" s="20"/>
      <c r="N35" s="134"/>
      <c r="O35" s="20"/>
      <c r="P35" s="20"/>
      <c r="Q35" s="20"/>
      <c r="R35" s="20"/>
      <c r="S35" s="20"/>
    </row>
    <row r="36" spans="2:19" s="1" customFormat="1" ht="15.75" x14ac:dyDescent="0.25">
      <c r="E36" s="129"/>
      <c r="F36" s="129"/>
      <c r="G36" s="971"/>
      <c r="H36" s="129"/>
      <c r="I36" s="15"/>
      <c r="J36" s="15"/>
      <c r="K36" s="15"/>
      <c r="L36" s="20"/>
      <c r="M36" s="19"/>
      <c r="N36" s="971"/>
      <c r="O36" s="19"/>
      <c r="P36" s="19"/>
      <c r="Q36" s="19"/>
      <c r="R36" s="20"/>
      <c r="S36" s="20"/>
    </row>
    <row r="37" spans="2:19" s="1" customFormat="1" ht="15.75" x14ac:dyDescent="0.25">
      <c r="B37" s="1" t="s">
        <v>982</v>
      </c>
      <c r="E37" s="129"/>
      <c r="F37" s="129"/>
      <c r="G37" s="971"/>
      <c r="H37" s="129"/>
      <c r="I37" s="15"/>
      <c r="J37" s="15"/>
      <c r="K37" s="15"/>
      <c r="L37" s="20"/>
      <c r="M37" s="19"/>
      <c r="N37" s="971"/>
      <c r="O37" s="19"/>
      <c r="P37" s="19"/>
      <c r="Q37" s="19"/>
      <c r="R37" s="20"/>
      <c r="S37" s="20"/>
    </row>
    <row r="38" spans="2:19" s="1" customFormat="1" ht="15.75" x14ac:dyDescent="0.25">
      <c r="E38" s="129"/>
      <c r="F38" s="129"/>
      <c r="G38" s="971"/>
      <c r="H38" s="129"/>
      <c r="I38" s="15"/>
      <c r="J38" s="15"/>
      <c r="K38" s="15"/>
      <c r="L38" s="20"/>
      <c r="M38" s="19"/>
      <c r="N38" s="971"/>
      <c r="O38" s="19"/>
      <c r="P38" s="19"/>
      <c r="Q38" s="19"/>
      <c r="R38" s="20"/>
      <c r="S38" s="20"/>
    </row>
    <row r="39" spans="2:19" s="1" customFormat="1" ht="18.75" x14ac:dyDescent="0.3">
      <c r="B39" s="21" t="s">
        <v>53</v>
      </c>
      <c r="C39" s="9"/>
      <c r="D39" s="9"/>
      <c r="E39" s="1004"/>
      <c r="F39" s="1005"/>
      <c r="G39" s="971"/>
      <c r="I39" s="15"/>
      <c r="J39" s="15"/>
      <c r="K39" s="15"/>
      <c r="L39" s="20"/>
      <c r="M39" s="19"/>
      <c r="O39" s="19"/>
      <c r="P39" s="19"/>
      <c r="Q39" s="19"/>
      <c r="R39" s="20"/>
      <c r="S39" s="20"/>
    </row>
    <row r="40" spans="2:19" s="1" customFormat="1" ht="64.5" customHeight="1" x14ac:dyDescent="0.25">
      <c r="B40" s="1348" t="str">
        <f>"I, "&amp;AD_assessor&amp;L33</f>
        <v>I, , a qualified BREEAM-NOR assessor working on behalf of  confirm that the content of this report is to the best of my knowledge a true and accurate reflection of the performance of the above named building, as measured against the assessment criteria and reporting requirements of the BREEAM-NOR Scheme Document (SD5075NOR). Furthermore, I confirm that this assessment and the information on which it is based has been checked and verified in accordance with Grønn Byggallianse/BRE Global Ltd's UKAS accredited BREEAM-NOR operating procedures for BREEAM-NOR assessments and assessors, as described in the  technical scheme document (SD5075NOR) and associated BREEAM-NOR operational documents.</v>
      </c>
      <c r="C40" s="1348"/>
      <c r="D40" s="1348"/>
      <c r="E40" s="1348"/>
      <c r="F40" s="1348"/>
      <c r="G40" s="971"/>
      <c r="I40" s="17"/>
      <c r="J40" s="17"/>
      <c r="K40" s="15"/>
      <c r="L40" s="1" t="s">
        <v>291</v>
      </c>
      <c r="M40" s="2"/>
      <c r="O40" s="19"/>
      <c r="P40" s="19"/>
      <c r="Q40" s="19"/>
      <c r="R40" s="20"/>
      <c r="S40" s="20"/>
    </row>
    <row r="41" spans="2:19" s="1" customFormat="1" ht="41.25" customHeight="1" x14ac:dyDescent="0.25">
      <c r="B41" s="1006"/>
      <c r="C41" s="1006"/>
      <c r="D41" s="1006"/>
      <c r="E41" s="1006"/>
      <c r="F41" s="1006"/>
      <c r="G41" s="971"/>
      <c r="I41" s="17"/>
      <c r="J41" s="17"/>
      <c r="K41" s="15"/>
      <c r="M41" s="2"/>
      <c r="O41" s="19"/>
      <c r="P41" s="19"/>
      <c r="Q41" s="19"/>
      <c r="R41" s="20"/>
      <c r="S41" s="20"/>
    </row>
    <row r="42" spans="2:19" s="1" customFormat="1" ht="15.75" x14ac:dyDescent="0.25">
      <c r="B42" s="1007" t="s">
        <v>983</v>
      </c>
      <c r="C42" s="1102"/>
      <c r="D42" s="1008"/>
      <c r="E42" s="1009"/>
      <c r="F42" s="1010"/>
      <c r="G42" s="971"/>
      <c r="H42" s="15"/>
      <c r="I42" s="15"/>
      <c r="J42" s="15"/>
      <c r="K42" s="15"/>
      <c r="L42" s="130" t="s">
        <v>272</v>
      </c>
      <c r="M42" s="79" t="s">
        <v>12</v>
      </c>
      <c r="N42" s="1000"/>
      <c r="O42" s="19"/>
      <c r="P42" s="19"/>
      <c r="Q42" s="19"/>
      <c r="R42" s="20"/>
      <c r="S42" s="20"/>
    </row>
    <row r="43" spans="2:19" s="1" customFormat="1" ht="15.75" x14ac:dyDescent="0.25">
      <c r="B43" s="1011" t="s">
        <v>10</v>
      </c>
      <c r="C43" s="1102"/>
      <c r="D43" s="1008"/>
      <c r="E43" s="1009"/>
      <c r="F43" s="1010"/>
      <c r="G43" s="971"/>
      <c r="H43" s="15"/>
      <c r="I43" s="15"/>
      <c r="J43" s="15"/>
      <c r="K43" s="15"/>
      <c r="L43" s="79" t="s">
        <v>313</v>
      </c>
      <c r="M43" s="1000"/>
      <c r="N43" s="971"/>
      <c r="O43" s="60" t="s">
        <v>285</v>
      </c>
      <c r="P43" s="19"/>
      <c r="Q43" s="19"/>
      <c r="R43" s="20"/>
      <c r="S43" s="20"/>
    </row>
    <row r="44" spans="2:19" s="1" customFormat="1" ht="16.5" thickBot="1" x14ac:dyDescent="0.3">
      <c r="B44" s="2"/>
      <c r="C44" s="1008"/>
      <c r="D44" s="1008"/>
      <c r="E44" s="1012"/>
      <c r="F44" s="1012"/>
      <c r="G44" s="971"/>
      <c r="H44" s="46"/>
      <c r="I44" s="46"/>
      <c r="J44" s="46"/>
      <c r="K44" s="46"/>
      <c r="M44" s="20"/>
      <c r="N44" s="20"/>
      <c r="O44" s="20"/>
      <c r="P44" s="20"/>
      <c r="Q44" s="20"/>
      <c r="R44" s="20"/>
      <c r="S44" s="20"/>
    </row>
    <row r="45" spans="2:19" s="1" customFormat="1" ht="28.5" customHeight="1" x14ac:dyDescent="0.3">
      <c r="B45" s="21" t="s">
        <v>218</v>
      </c>
      <c r="C45" s="9"/>
      <c r="D45" s="9"/>
      <c r="E45" s="1013"/>
      <c r="F45" s="1013"/>
      <c r="G45" s="971"/>
      <c r="H45" s="46"/>
      <c r="I45" s="46"/>
      <c r="J45" s="46"/>
      <c r="K45" s="410"/>
      <c r="L45" s="1014" t="s">
        <v>323</v>
      </c>
      <c r="M45" s="109">
        <v>1</v>
      </c>
      <c r="N45" s="20"/>
      <c r="O45" s="19"/>
      <c r="P45" s="19"/>
      <c r="Q45" s="19"/>
      <c r="R45" s="20"/>
      <c r="S45" s="20"/>
    </row>
    <row r="46" spans="2:19" s="1" customFormat="1" ht="73.5" customHeight="1" x14ac:dyDescent="0.25">
      <c r="B46" s="1346" t="s">
        <v>1253</v>
      </c>
      <c r="C46" s="1346"/>
      <c r="D46" s="1346"/>
      <c r="E46" s="1346"/>
      <c r="F46" s="1346"/>
      <c r="G46" s="971"/>
      <c r="H46" s="46"/>
      <c r="I46" s="46"/>
      <c r="J46" s="46"/>
      <c r="K46" s="409"/>
      <c r="L46" s="1015" t="s">
        <v>324</v>
      </c>
      <c r="M46" s="110">
        <v>2</v>
      </c>
      <c r="N46" s="20"/>
      <c r="O46" s="19"/>
      <c r="P46" s="19"/>
      <c r="Q46" s="19"/>
      <c r="R46" s="20"/>
      <c r="S46" s="20"/>
    </row>
    <row r="47" spans="2:19" s="1" customFormat="1" ht="15.75" x14ac:dyDescent="0.25">
      <c r="D47" s="1016"/>
      <c r="E47" s="46"/>
      <c r="F47" s="46"/>
      <c r="G47" s="971"/>
      <c r="H47" s="46"/>
      <c r="I47" s="46"/>
      <c r="J47" s="46"/>
      <c r="K47" s="408"/>
      <c r="L47" s="1017" t="s">
        <v>325</v>
      </c>
      <c r="M47" s="110">
        <v>3</v>
      </c>
      <c r="N47" s="971"/>
      <c r="O47" s="20"/>
      <c r="P47" s="20"/>
      <c r="Q47" s="20"/>
      <c r="R47" s="20"/>
      <c r="S47" s="20"/>
    </row>
    <row r="48" spans="2:19" s="1" customFormat="1" ht="19.5" thickBot="1" x14ac:dyDescent="0.35">
      <c r="B48" s="21" t="s">
        <v>8</v>
      </c>
      <c r="C48" s="9"/>
      <c r="D48" s="9"/>
      <c r="E48" s="1013"/>
      <c r="F48" s="1018"/>
      <c r="G48" s="971"/>
      <c r="H48" s="15"/>
      <c r="I48" s="15"/>
      <c r="J48" s="15"/>
      <c r="K48" s="15"/>
      <c r="L48" s="111" t="s">
        <v>0</v>
      </c>
      <c r="M48" s="112">
        <v>4</v>
      </c>
      <c r="N48" s="20"/>
      <c r="O48" s="20"/>
      <c r="P48" s="20"/>
      <c r="Q48" s="20"/>
      <c r="R48" s="20"/>
      <c r="S48" s="20"/>
    </row>
    <row r="49" spans="2:19" s="1" customFormat="1" ht="15.75" x14ac:dyDescent="0.25">
      <c r="B49" s="1347" t="s">
        <v>9</v>
      </c>
      <c r="C49" s="1347"/>
      <c r="D49" s="1347"/>
      <c r="E49" s="1347"/>
      <c r="F49" s="1347"/>
      <c r="G49" s="971"/>
      <c r="H49" s="15"/>
      <c r="I49" s="15"/>
      <c r="J49" s="15"/>
      <c r="K49" s="15"/>
      <c r="N49" s="20"/>
      <c r="O49" s="20"/>
      <c r="P49" s="20"/>
      <c r="Q49" s="20"/>
      <c r="R49" s="20"/>
      <c r="S49" s="20"/>
    </row>
    <row r="50" spans="2:19" s="1" customFormat="1" ht="15.75" x14ac:dyDescent="0.25">
      <c r="B50" s="2"/>
      <c r="C50" s="2"/>
      <c r="D50" s="2"/>
      <c r="E50" s="1019"/>
      <c r="F50" s="1020"/>
      <c r="G50" s="971"/>
      <c r="H50" s="15"/>
      <c r="I50" s="15"/>
      <c r="J50" s="15"/>
      <c r="K50" s="15"/>
      <c r="L50" s="116" t="s">
        <v>360</v>
      </c>
      <c r="N50" s="20"/>
      <c r="O50" s="20"/>
      <c r="P50" s="20"/>
      <c r="Q50" s="20"/>
      <c r="R50" s="20"/>
      <c r="S50" s="20"/>
    </row>
    <row r="51" spans="2:19" s="1" customFormat="1" ht="15.75" x14ac:dyDescent="0.25">
      <c r="B51" s="1019" t="s">
        <v>1254</v>
      </c>
      <c r="C51" s="2"/>
      <c r="D51" s="2"/>
      <c r="E51" s="1019"/>
      <c r="F51" s="1020"/>
      <c r="G51" s="971"/>
      <c r="H51" s="15"/>
      <c r="I51" s="15"/>
      <c r="J51" s="15"/>
      <c r="K51" s="15"/>
      <c r="L51" s="106" t="s">
        <v>14</v>
      </c>
      <c r="N51" s="20"/>
      <c r="O51" s="20"/>
      <c r="P51" s="20"/>
      <c r="Q51" s="20"/>
      <c r="R51" s="20"/>
      <c r="S51" s="20"/>
    </row>
    <row r="52" spans="2:19" s="1" customFormat="1" ht="15.75" x14ac:dyDescent="0.25">
      <c r="B52" s="2"/>
      <c r="C52" s="29"/>
      <c r="D52" s="29"/>
      <c r="E52" s="1021"/>
      <c r="F52" s="1022"/>
      <c r="G52" s="971"/>
      <c r="H52" s="15"/>
      <c r="I52" s="15"/>
      <c r="J52" s="15"/>
      <c r="K52" s="15"/>
      <c r="L52" s="106" t="s">
        <v>1147</v>
      </c>
      <c r="N52" s="20"/>
      <c r="O52" s="20"/>
      <c r="P52" s="20"/>
      <c r="Q52" s="20"/>
      <c r="R52" s="20"/>
      <c r="S52" s="20"/>
    </row>
    <row r="53" spans="2:19" s="1" customFormat="1" ht="15.75" x14ac:dyDescent="0.25">
      <c r="F53" s="59"/>
      <c r="G53" s="971"/>
      <c r="H53" s="15"/>
      <c r="I53" s="15"/>
      <c r="J53" s="15"/>
      <c r="K53" s="15"/>
      <c r="L53" s="20" t="s">
        <v>805</v>
      </c>
      <c r="M53" s="20"/>
      <c r="N53" s="20"/>
      <c r="O53" s="20"/>
      <c r="P53" s="20"/>
      <c r="Q53" s="20"/>
      <c r="R53" s="20"/>
      <c r="S53" s="20"/>
    </row>
    <row r="54" spans="2:19" s="1" customFormat="1" ht="15.75" x14ac:dyDescent="0.25">
      <c r="B54" s="1023" t="s">
        <v>1225</v>
      </c>
      <c r="C54" s="1024" t="str">
        <f>TVC_current_version</f>
        <v>1.05</v>
      </c>
      <c r="D54" s="2"/>
      <c r="E54" s="1025">
        <f>TVC_current_date</f>
        <v>43782</v>
      </c>
      <c r="F54" s="59"/>
      <c r="G54" s="971"/>
      <c r="H54" s="15"/>
      <c r="I54" s="15"/>
      <c r="J54" s="15"/>
      <c r="K54" s="15"/>
      <c r="L54" s="20"/>
      <c r="M54" s="20"/>
      <c r="N54" s="20"/>
      <c r="O54" s="20"/>
      <c r="P54" s="20"/>
      <c r="Q54" s="20"/>
      <c r="R54" s="20"/>
      <c r="S54" s="20"/>
    </row>
    <row r="55" spans="2:19" s="1" customFormat="1" ht="15.75" x14ac:dyDescent="0.25">
      <c r="B55" s="2"/>
      <c r="C55" s="2"/>
      <c r="D55" s="2"/>
      <c r="E55" s="5"/>
      <c r="F55" s="59"/>
      <c r="G55" s="971"/>
      <c r="H55" s="15"/>
      <c r="I55" s="15"/>
      <c r="J55" s="15"/>
      <c r="K55" s="15"/>
      <c r="L55" s="20"/>
      <c r="M55" s="20"/>
      <c r="N55" s="20"/>
      <c r="O55" s="20"/>
      <c r="P55" s="20"/>
      <c r="Q55" s="20"/>
      <c r="R55" s="20"/>
      <c r="S55" s="20"/>
    </row>
    <row r="56" spans="2:19" x14ac:dyDescent="0.25">
      <c r="B56" s="1026"/>
      <c r="C56" s="57"/>
      <c r="D56" s="1026"/>
      <c r="E56" s="1026"/>
      <c r="F56" s="1026"/>
      <c r="L56" s="20"/>
      <c r="M56" s="20"/>
      <c r="N56" s="20"/>
      <c r="O56" s="20"/>
      <c r="P56" s="20"/>
      <c r="Q56" s="20"/>
      <c r="R56" s="20"/>
      <c r="S56" s="20"/>
    </row>
    <row r="57" spans="2:19" s="1" customFormat="1" ht="15.75" x14ac:dyDescent="0.25">
      <c r="B57" s="971"/>
      <c r="C57" s="971"/>
      <c r="D57" s="971"/>
      <c r="E57" s="18"/>
      <c r="F57" s="15"/>
      <c r="G57" s="971"/>
      <c r="H57" s="15"/>
      <c r="I57" s="15"/>
      <c r="J57" s="15"/>
      <c r="K57" s="15"/>
      <c r="L57" s="20"/>
      <c r="M57" s="20"/>
      <c r="N57" s="20"/>
      <c r="O57" s="20"/>
      <c r="P57" s="20"/>
      <c r="Q57" s="20"/>
      <c r="R57" s="20"/>
      <c r="S57" s="20"/>
    </row>
    <row r="58" spans="2:19" s="1" customFormat="1" ht="15.75" x14ac:dyDescent="0.25">
      <c r="B58" s="971"/>
      <c r="C58" s="971"/>
      <c r="D58" s="971"/>
      <c r="E58" s="18"/>
      <c r="F58" s="15"/>
      <c r="G58" s="971"/>
      <c r="H58" s="15"/>
      <c r="I58" s="15"/>
      <c r="J58" s="15"/>
      <c r="K58" s="15"/>
      <c r="L58" s="20"/>
      <c r="M58" s="20"/>
      <c r="N58" s="20"/>
      <c r="O58" s="20"/>
      <c r="P58" s="20"/>
      <c r="Q58" s="20"/>
      <c r="R58" s="20"/>
      <c r="S58" s="20"/>
    </row>
    <row r="59" spans="2:19" s="1" customFormat="1" ht="15.75" x14ac:dyDescent="0.25">
      <c r="C59" s="53"/>
      <c r="E59" s="971"/>
      <c r="F59" s="971"/>
      <c r="G59" s="971"/>
      <c r="H59" s="971"/>
      <c r="I59" s="971"/>
      <c r="J59" s="971"/>
      <c r="K59" s="971"/>
      <c r="L59" s="20"/>
      <c r="M59" s="132"/>
      <c r="N59" s="20"/>
      <c r="O59" s="20"/>
      <c r="P59" s="20"/>
      <c r="Q59" s="20"/>
      <c r="R59" s="20"/>
      <c r="S59" s="20"/>
    </row>
    <row r="60" spans="2:19" s="1" customFormat="1" ht="15.75" x14ac:dyDescent="0.25">
      <c r="B60" s="58"/>
      <c r="C60" s="54" t="s">
        <v>10</v>
      </c>
      <c r="E60" s="18"/>
      <c r="F60" s="15"/>
      <c r="G60" s="971"/>
      <c r="H60" s="15"/>
      <c r="I60" s="15"/>
      <c r="J60" s="15"/>
      <c r="K60" s="15"/>
      <c r="L60" s="20"/>
      <c r="M60" s="132"/>
      <c r="N60" s="20"/>
      <c r="O60" s="20"/>
      <c r="P60" s="20"/>
      <c r="Q60" s="20"/>
      <c r="R60" s="20"/>
      <c r="S60" s="20"/>
    </row>
    <row r="61" spans="2:19" s="1" customFormat="1" ht="15.75" x14ac:dyDescent="0.25">
      <c r="C61" s="1027"/>
      <c r="E61" s="18"/>
      <c r="F61" s="15"/>
      <c r="G61" s="971"/>
      <c r="H61" s="15"/>
      <c r="I61" s="15"/>
      <c r="J61" s="15"/>
      <c r="K61" s="15"/>
      <c r="L61" s="20"/>
      <c r="M61" s="132"/>
      <c r="N61" s="20"/>
      <c r="O61" s="20"/>
      <c r="P61" s="20"/>
      <c r="Q61" s="20"/>
      <c r="R61" s="20"/>
      <c r="S61" s="20"/>
    </row>
    <row r="62" spans="2:19" s="1" customFormat="1" ht="15.75" x14ac:dyDescent="0.25">
      <c r="E62" s="18"/>
      <c r="F62" s="15"/>
      <c r="G62" s="971"/>
      <c r="H62" s="15"/>
      <c r="I62" s="15"/>
      <c r="J62" s="15"/>
      <c r="K62" s="15"/>
      <c r="L62" s="20"/>
      <c r="M62" s="20"/>
      <c r="N62" s="20"/>
      <c r="O62" s="20"/>
      <c r="P62" s="20"/>
      <c r="Q62" s="20"/>
      <c r="R62" s="20"/>
      <c r="S62" s="20"/>
    </row>
    <row r="63" spans="2:19" s="1" customFormat="1" ht="15.75" x14ac:dyDescent="0.25">
      <c r="B63" s="39"/>
      <c r="C63" s="55"/>
      <c r="E63" s="48"/>
      <c r="F63" s="48"/>
      <c r="G63" s="971"/>
      <c r="H63" s="48"/>
      <c r="I63" s="48"/>
      <c r="J63" s="48"/>
      <c r="K63" s="48"/>
      <c r="L63" s="20"/>
      <c r="M63" s="20"/>
      <c r="N63" s="20"/>
      <c r="O63" s="20"/>
      <c r="P63" s="20"/>
      <c r="Q63" s="20"/>
      <c r="R63" s="20"/>
      <c r="S63" s="20"/>
    </row>
    <row r="64" spans="2:19" s="1" customFormat="1" ht="15" customHeight="1" x14ac:dyDescent="0.25">
      <c r="B64" s="13"/>
      <c r="C64" s="56"/>
      <c r="E64" s="965"/>
      <c r="F64" s="17"/>
      <c r="G64" s="971"/>
      <c r="H64" s="17"/>
      <c r="I64" s="17"/>
      <c r="J64" s="17"/>
      <c r="K64" s="17"/>
      <c r="L64" s="80" t="s">
        <v>316</v>
      </c>
      <c r="M64" s="980" t="s">
        <v>299</v>
      </c>
      <c r="N64" s="20"/>
      <c r="O64" s="20"/>
      <c r="P64" s="20"/>
      <c r="Q64" s="20"/>
      <c r="R64" s="971"/>
      <c r="S64" s="971"/>
    </row>
    <row r="65" spans="2:19" s="1" customFormat="1" ht="15.75" x14ac:dyDescent="0.25">
      <c r="B65" s="14"/>
      <c r="C65" s="56"/>
      <c r="E65" s="965"/>
      <c r="F65" s="17"/>
      <c r="G65" s="971"/>
      <c r="H65" s="17"/>
      <c r="I65" s="17"/>
      <c r="J65" s="17"/>
      <c r="K65" s="17"/>
      <c r="L65" s="971"/>
      <c r="M65" s="971"/>
      <c r="N65" s="971"/>
      <c r="O65" s="971"/>
      <c r="P65" s="971"/>
      <c r="Q65" s="971"/>
      <c r="R65" s="971"/>
      <c r="S65" s="971"/>
    </row>
    <row r="66" spans="2:19" s="1" customFormat="1" ht="15.75" x14ac:dyDescent="0.25">
      <c r="B66" s="38"/>
      <c r="C66" s="55"/>
      <c r="E66" s="18"/>
      <c r="F66" s="15"/>
      <c r="G66" s="971"/>
      <c r="H66" s="15"/>
      <c r="I66" s="15"/>
      <c r="J66" s="15"/>
      <c r="K66" s="15"/>
      <c r="L66" s="971"/>
      <c r="M66" s="971"/>
      <c r="N66" s="971"/>
      <c r="O66" s="971"/>
      <c r="P66" s="971"/>
      <c r="Q66" s="971"/>
      <c r="R66" s="971"/>
      <c r="S66" s="971"/>
    </row>
    <row r="67" spans="2:19" s="1" customFormat="1" ht="15.75" x14ac:dyDescent="0.25">
      <c r="B67" s="13"/>
      <c r="C67" s="56"/>
      <c r="E67" s="18"/>
      <c r="F67" s="15"/>
      <c r="G67" s="971"/>
      <c r="H67" s="15"/>
      <c r="I67" s="15"/>
      <c r="J67" s="15"/>
      <c r="K67" s="15"/>
      <c r="L67" s="971"/>
      <c r="N67" s="971"/>
      <c r="O67" s="971"/>
      <c r="P67" s="971"/>
      <c r="Q67" s="971"/>
      <c r="R67" s="971"/>
      <c r="S67" s="971"/>
    </row>
    <row r="68" spans="2:19" s="1" customFormat="1" ht="15.75" x14ac:dyDescent="0.25">
      <c r="B68" s="6"/>
      <c r="C68" s="57"/>
      <c r="E68" s="18"/>
      <c r="F68" s="15"/>
      <c r="G68" s="971"/>
      <c r="H68" s="15"/>
      <c r="I68" s="15"/>
      <c r="J68" s="15"/>
      <c r="K68" s="15"/>
      <c r="L68" s="971"/>
      <c r="M68" s="20"/>
      <c r="N68" s="971"/>
      <c r="O68" s="971"/>
      <c r="P68" s="971"/>
      <c r="Q68" s="971"/>
      <c r="R68" s="971"/>
      <c r="S68" s="971"/>
    </row>
    <row r="69" spans="2:19" s="1" customFormat="1" ht="15.75" x14ac:dyDescent="0.25">
      <c r="B69" s="2"/>
      <c r="C69" s="57"/>
      <c r="E69" s="18"/>
      <c r="F69" s="15"/>
      <c r="G69" s="971"/>
      <c r="H69" s="15"/>
      <c r="I69" s="15"/>
      <c r="J69" s="15"/>
      <c r="K69" s="15"/>
      <c r="L69" s="971"/>
      <c r="M69" s="971"/>
      <c r="N69" s="971"/>
      <c r="O69" s="971"/>
      <c r="P69" s="971"/>
      <c r="Q69" s="971"/>
      <c r="R69" s="971"/>
      <c r="S69" s="971"/>
    </row>
    <row r="70" spans="2:19" s="1" customFormat="1" x14ac:dyDescent="0.25">
      <c r="B70" s="2"/>
      <c r="C70" s="57"/>
      <c r="E70" s="2"/>
      <c r="G70" s="971"/>
      <c r="L70" s="971"/>
      <c r="M70" s="971"/>
      <c r="N70" s="971"/>
      <c r="O70" s="971"/>
      <c r="P70" s="971"/>
      <c r="Q70" s="971"/>
      <c r="R70" s="971"/>
      <c r="S70" s="971"/>
    </row>
    <row r="71" spans="2:19" s="1" customFormat="1" x14ac:dyDescent="0.25">
      <c r="C71" s="22"/>
      <c r="E71" s="2"/>
      <c r="G71" s="971"/>
      <c r="L71" s="971"/>
      <c r="M71" s="971"/>
      <c r="N71" s="971"/>
      <c r="O71" s="971"/>
      <c r="P71" s="971"/>
      <c r="Q71" s="971"/>
      <c r="R71" s="971"/>
      <c r="S71" s="971"/>
    </row>
    <row r="72" spans="2:19" s="1" customFormat="1" x14ac:dyDescent="0.25">
      <c r="C72" s="22"/>
      <c r="E72" s="2"/>
      <c r="G72" s="971"/>
      <c r="L72" s="971"/>
      <c r="M72" s="971"/>
      <c r="N72" s="971"/>
      <c r="O72" s="971"/>
      <c r="P72" s="971"/>
      <c r="Q72" s="971"/>
      <c r="R72" s="971"/>
      <c r="S72" s="971"/>
    </row>
    <row r="73" spans="2:19" s="1" customFormat="1" x14ac:dyDescent="0.25">
      <c r="E73" s="2"/>
      <c r="G73" s="971"/>
      <c r="L73" s="971"/>
      <c r="M73" s="971"/>
      <c r="N73" s="971"/>
      <c r="O73" s="971"/>
      <c r="P73" s="971"/>
      <c r="Q73" s="971"/>
      <c r="R73" s="971"/>
      <c r="S73" s="971"/>
    </row>
    <row r="74" spans="2:19" s="1" customFormat="1" x14ac:dyDescent="0.25">
      <c r="C74" s="22"/>
      <c r="E74" s="2"/>
      <c r="G74" s="971"/>
      <c r="L74" s="971"/>
      <c r="M74" s="971"/>
      <c r="N74" s="971"/>
      <c r="O74" s="971"/>
      <c r="P74" s="971"/>
      <c r="Q74" s="971"/>
      <c r="R74" s="971"/>
      <c r="S74" s="971"/>
    </row>
    <row r="75" spans="2:19" s="1" customFormat="1" x14ac:dyDescent="0.25">
      <c r="C75" s="22"/>
      <c r="E75" s="2"/>
      <c r="G75" s="971"/>
      <c r="L75" s="971"/>
      <c r="M75" s="971"/>
      <c r="N75" s="971"/>
      <c r="O75" s="971"/>
      <c r="P75" s="971"/>
      <c r="Q75" s="971"/>
      <c r="R75" s="971"/>
      <c r="S75" s="971"/>
    </row>
    <row r="76" spans="2:19" s="1" customFormat="1" x14ac:dyDescent="0.25">
      <c r="C76" s="22"/>
      <c r="G76" s="971"/>
      <c r="L76" s="971"/>
      <c r="M76" s="971"/>
      <c r="N76" s="971"/>
      <c r="O76" s="971"/>
      <c r="P76" s="971"/>
      <c r="Q76" s="971"/>
      <c r="R76" s="971"/>
      <c r="S76" s="971"/>
    </row>
    <row r="77" spans="2:19" s="1" customFormat="1" x14ac:dyDescent="0.25">
      <c r="C77" s="22"/>
      <c r="G77" s="971"/>
      <c r="H77" s="2"/>
      <c r="L77" s="971"/>
      <c r="M77" s="971"/>
      <c r="N77" s="971"/>
      <c r="O77" s="971"/>
      <c r="P77" s="971"/>
      <c r="Q77" s="971"/>
      <c r="R77" s="971"/>
      <c r="S77" s="971"/>
    </row>
    <row r="78" spans="2:19" s="1" customFormat="1" x14ac:dyDescent="0.25">
      <c r="C78" s="22"/>
      <c r="E78" s="2"/>
      <c r="G78" s="971"/>
      <c r="L78" s="971"/>
      <c r="M78" s="971"/>
      <c r="N78" s="971"/>
      <c r="O78" s="971"/>
      <c r="P78" s="971"/>
      <c r="Q78" s="971"/>
      <c r="R78" s="971"/>
      <c r="S78" s="971"/>
    </row>
    <row r="79" spans="2:19" s="1" customFormat="1" x14ac:dyDescent="0.25">
      <c r="C79" s="22"/>
      <c r="E79" s="2"/>
      <c r="G79" s="971"/>
      <c r="L79" s="971"/>
      <c r="M79" s="971"/>
      <c r="N79" s="971"/>
      <c r="O79" s="971"/>
      <c r="P79" s="971"/>
      <c r="Q79" s="971"/>
      <c r="R79" s="971"/>
      <c r="S79" s="971"/>
    </row>
    <row r="80" spans="2:19" s="1" customFormat="1" x14ac:dyDescent="0.25">
      <c r="C80" s="22"/>
      <c r="E80" s="2"/>
      <c r="G80" s="971"/>
      <c r="L80" s="971"/>
      <c r="M80" s="971"/>
      <c r="N80" s="971"/>
      <c r="O80" s="971"/>
      <c r="P80" s="971"/>
      <c r="Q80" s="971"/>
      <c r="R80" s="971"/>
      <c r="S80" s="971"/>
    </row>
    <row r="81" spans="3:19" s="1" customFormat="1" x14ac:dyDescent="0.25">
      <c r="C81" s="22"/>
      <c r="E81" s="2"/>
      <c r="G81" s="971"/>
      <c r="L81" s="971"/>
      <c r="M81" s="971"/>
      <c r="N81" s="971"/>
      <c r="O81" s="971"/>
      <c r="P81" s="971"/>
      <c r="Q81" s="971"/>
      <c r="R81" s="971"/>
      <c r="S81" s="971"/>
    </row>
    <row r="82" spans="3:19" s="1" customFormat="1" x14ac:dyDescent="0.25">
      <c r="C82" s="22"/>
      <c r="E82" s="2"/>
      <c r="G82" s="971"/>
      <c r="L82" s="971"/>
      <c r="M82" s="971"/>
      <c r="N82" s="971"/>
      <c r="O82" s="971"/>
      <c r="P82" s="971"/>
      <c r="Q82" s="971"/>
      <c r="R82" s="971"/>
      <c r="S82" s="971"/>
    </row>
    <row r="83" spans="3:19" s="1" customFormat="1" x14ac:dyDescent="0.25">
      <c r="C83" s="22"/>
      <c r="E83" s="2"/>
      <c r="G83" s="971"/>
      <c r="L83" s="971"/>
      <c r="M83" s="971"/>
      <c r="N83" s="971"/>
      <c r="O83" s="971"/>
      <c r="P83" s="971"/>
      <c r="Q83" s="971"/>
      <c r="R83" s="971"/>
      <c r="S83" s="971"/>
    </row>
    <row r="84" spans="3:19" s="1" customFormat="1" x14ac:dyDescent="0.25">
      <c r="E84" s="2"/>
      <c r="G84" s="971"/>
      <c r="L84" s="971"/>
      <c r="M84" s="971"/>
      <c r="N84" s="971"/>
      <c r="O84" s="971"/>
      <c r="P84" s="971"/>
      <c r="Q84" s="971"/>
      <c r="R84" s="971"/>
      <c r="S84" s="971"/>
    </row>
    <row r="85" spans="3:19" s="1" customFormat="1" x14ac:dyDescent="0.25">
      <c r="E85" s="2"/>
      <c r="G85" s="971"/>
      <c r="L85" s="971"/>
      <c r="M85" s="971"/>
      <c r="N85" s="971"/>
      <c r="O85" s="971"/>
      <c r="P85" s="971"/>
      <c r="Q85" s="971"/>
      <c r="R85" s="971"/>
      <c r="S85" s="971"/>
    </row>
    <row r="86" spans="3:19" s="1" customFormat="1" x14ac:dyDescent="0.25">
      <c r="E86" s="2"/>
      <c r="G86" s="971"/>
      <c r="L86" s="971"/>
      <c r="M86" s="971"/>
      <c r="N86" s="971"/>
      <c r="O86" s="971"/>
      <c r="P86" s="971"/>
      <c r="Q86" s="971"/>
      <c r="R86" s="971"/>
      <c r="S86" s="971"/>
    </row>
    <row r="87" spans="3:19" s="1" customFormat="1" x14ac:dyDescent="0.25">
      <c r="E87" s="2"/>
      <c r="G87" s="971"/>
      <c r="L87" s="971"/>
      <c r="M87" s="971"/>
      <c r="N87" s="971"/>
      <c r="O87" s="971"/>
      <c r="P87" s="971"/>
      <c r="Q87" s="971"/>
      <c r="R87" s="971"/>
      <c r="S87" s="971"/>
    </row>
    <row r="88" spans="3:19" s="1" customFormat="1" x14ac:dyDescent="0.25">
      <c r="E88" s="2"/>
      <c r="G88" s="971"/>
      <c r="L88" s="971"/>
      <c r="M88" s="971"/>
      <c r="N88" s="971"/>
      <c r="O88" s="971"/>
      <c r="P88" s="971"/>
      <c r="Q88" s="971"/>
      <c r="R88" s="971"/>
      <c r="S88" s="971"/>
    </row>
    <row r="89" spans="3:19" s="1" customFormat="1" x14ac:dyDescent="0.25">
      <c r="E89" s="2"/>
      <c r="G89" s="971"/>
      <c r="L89" s="971"/>
      <c r="M89" s="971"/>
      <c r="N89" s="971"/>
      <c r="O89" s="971"/>
      <c r="P89" s="971"/>
      <c r="Q89" s="971"/>
      <c r="R89" s="971"/>
      <c r="S89" s="971"/>
    </row>
    <row r="90" spans="3:19" s="1" customFormat="1" x14ac:dyDescent="0.25">
      <c r="E90" s="2"/>
      <c r="G90" s="971"/>
      <c r="L90" s="971"/>
      <c r="M90" s="971"/>
      <c r="N90" s="971"/>
      <c r="O90" s="971"/>
      <c r="P90" s="971"/>
      <c r="Q90" s="971"/>
      <c r="R90" s="971"/>
      <c r="S90" s="971"/>
    </row>
    <row r="91" spans="3:19" s="1" customFormat="1" x14ac:dyDescent="0.25">
      <c r="E91" s="2"/>
      <c r="G91" s="971"/>
      <c r="L91" s="971"/>
      <c r="M91" s="971"/>
      <c r="N91" s="971"/>
      <c r="O91" s="971"/>
      <c r="P91" s="971"/>
      <c r="Q91" s="971"/>
      <c r="R91" s="971"/>
      <c r="S91" s="971"/>
    </row>
    <row r="92" spans="3:19" s="1" customFormat="1" x14ac:dyDescent="0.25">
      <c r="E92" s="2"/>
      <c r="G92" s="971"/>
      <c r="L92" s="971"/>
      <c r="M92" s="971"/>
      <c r="N92" s="971"/>
      <c r="O92" s="971"/>
      <c r="P92" s="971"/>
      <c r="Q92" s="971"/>
      <c r="R92" s="971"/>
      <c r="S92" s="971"/>
    </row>
    <row r="93" spans="3:19" s="1" customFormat="1" x14ac:dyDescent="0.25">
      <c r="E93" s="2"/>
      <c r="G93" s="971"/>
      <c r="L93" s="971"/>
      <c r="M93" s="971"/>
      <c r="N93" s="971"/>
      <c r="O93" s="971"/>
      <c r="P93" s="971"/>
      <c r="Q93" s="971"/>
      <c r="R93" s="971"/>
      <c r="S93" s="971"/>
    </row>
    <row r="94" spans="3:19" s="1" customFormat="1" x14ac:dyDescent="0.25">
      <c r="E94" s="2"/>
      <c r="G94" s="971"/>
      <c r="L94" s="971"/>
      <c r="M94" s="971"/>
      <c r="N94" s="971"/>
      <c r="O94" s="971"/>
      <c r="P94" s="971"/>
      <c r="Q94" s="971"/>
      <c r="R94" s="971"/>
      <c r="S94" s="971"/>
    </row>
    <row r="95" spans="3:19" s="1" customFormat="1" x14ac:dyDescent="0.25">
      <c r="E95" s="2"/>
      <c r="G95" s="971"/>
      <c r="L95" s="971"/>
      <c r="M95" s="971"/>
      <c r="N95" s="971"/>
      <c r="O95" s="971"/>
      <c r="P95" s="971"/>
      <c r="Q95" s="971"/>
      <c r="R95" s="971"/>
      <c r="S95" s="971"/>
    </row>
    <row r="96" spans="3:19" s="1" customFormat="1" x14ac:dyDescent="0.25">
      <c r="E96" s="2"/>
      <c r="G96" s="971"/>
      <c r="L96" s="971"/>
      <c r="M96" s="971"/>
      <c r="N96" s="971"/>
      <c r="O96" s="971"/>
      <c r="P96" s="971"/>
      <c r="Q96" s="971"/>
      <c r="R96" s="971"/>
      <c r="S96" s="971"/>
    </row>
    <row r="97" spans="5:19" s="1" customFormat="1" x14ac:dyDescent="0.25">
      <c r="E97" s="2"/>
      <c r="G97" s="971"/>
      <c r="L97" s="971"/>
      <c r="M97" s="971"/>
      <c r="N97" s="971"/>
      <c r="O97" s="971"/>
      <c r="P97" s="971"/>
      <c r="Q97" s="971"/>
      <c r="R97" s="971"/>
      <c r="S97" s="971"/>
    </row>
    <row r="98" spans="5:19" s="1" customFormat="1" x14ac:dyDescent="0.25">
      <c r="E98" s="2"/>
      <c r="G98" s="971"/>
      <c r="L98" s="971"/>
      <c r="M98" s="971"/>
      <c r="N98" s="971"/>
      <c r="O98" s="971"/>
      <c r="P98" s="971"/>
      <c r="Q98" s="971"/>
      <c r="R98" s="971"/>
      <c r="S98" s="971"/>
    </row>
    <row r="99" spans="5:19" s="1" customFormat="1" x14ac:dyDescent="0.25">
      <c r="E99" s="2"/>
      <c r="G99" s="971"/>
      <c r="L99" s="971"/>
      <c r="M99" s="971"/>
      <c r="N99" s="971"/>
      <c r="O99" s="971"/>
      <c r="P99" s="971"/>
      <c r="Q99" s="971"/>
      <c r="R99" s="971"/>
      <c r="S99" s="971"/>
    </row>
    <row r="100" spans="5:19" s="1" customFormat="1" x14ac:dyDescent="0.25">
      <c r="E100" s="2"/>
      <c r="G100" s="971"/>
      <c r="L100" s="971"/>
      <c r="M100" s="971"/>
      <c r="N100" s="971"/>
      <c r="O100" s="971"/>
      <c r="P100" s="971"/>
      <c r="Q100" s="971"/>
      <c r="R100" s="971"/>
      <c r="S100" s="971"/>
    </row>
    <row r="101" spans="5:19" s="1" customFormat="1" x14ac:dyDescent="0.25">
      <c r="E101" s="2"/>
      <c r="G101" s="971"/>
      <c r="L101" s="971"/>
      <c r="M101" s="971"/>
      <c r="N101" s="971"/>
      <c r="O101" s="971"/>
      <c r="P101" s="971"/>
      <c r="Q101" s="971"/>
      <c r="R101" s="971"/>
      <c r="S101" s="971"/>
    </row>
    <row r="102" spans="5:19" s="1" customFormat="1" x14ac:dyDescent="0.25">
      <c r="E102" s="2"/>
      <c r="G102" s="971"/>
      <c r="L102" s="971"/>
      <c r="M102" s="971"/>
      <c r="N102" s="971"/>
      <c r="O102" s="971"/>
      <c r="P102" s="971"/>
      <c r="Q102" s="971"/>
      <c r="R102" s="971"/>
      <c r="S102" s="971"/>
    </row>
    <row r="103" spans="5:19" s="1" customFormat="1" x14ac:dyDescent="0.25">
      <c r="E103" s="2"/>
      <c r="G103" s="971"/>
      <c r="L103" s="971"/>
      <c r="M103" s="971"/>
      <c r="N103" s="971"/>
      <c r="O103" s="971"/>
      <c r="P103" s="971"/>
      <c r="Q103" s="971"/>
      <c r="R103" s="971"/>
      <c r="S103" s="971"/>
    </row>
    <row r="104" spans="5:19" s="1" customFormat="1" x14ac:dyDescent="0.25">
      <c r="E104" s="2"/>
      <c r="G104" s="971"/>
      <c r="L104" s="971"/>
      <c r="M104" s="971"/>
      <c r="N104" s="971"/>
      <c r="O104" s="971"/>
      <c r="P104" s="971"/>
      <c r="Q104" s="971"/>
      <c r="R104" s="971"/>
      <c r="S104" s="971"/>
    </row>
    <row r="105" spans="5:19" s="1" customFormat="1" x14ac:dyDescent="0.25">
      <c r="E105" s="2"/>
      <c r="G105" s="971"/>
      <c r="L105" s="971"/>
      <c r="M105" s="971"/>
      <c r="N105" s="971"/>
      <c r="O105" s="971"/>
      <c r="P105" s="971"/>
      <c r="Q105" s="971"/>
      <c r="R105" s="971"/>
      <c r="S105" s="971"/>
    </row>
    <row r="106" spans="5:19" s="1" customFormat="1" x14ac:dyDescent="0.25">
      <c r="E106" s="2"/>
      <c r="G106" s="971"/>
      <c r="L106" s="971"/>
      <c r="M106" s="971"/>
      <c r="N106" s="971"/>
      <c r="O106" s="971"/>
      <c r="P106" s="971"/>
      <c r="Q106" s="971"/>
      <c r="R106" s="971"/>
      <c r="S106" s="971"/>
    </row>
    <row r="107" spans="5:19" s="1" customFormat="1" x14ac:dyDescent="0.25">
      <c r="E107" s="2"/>
      <c r="G107" s="971"/>
      <c r="L107" s="971"/>
      <c r="M107" s="971"/>
      <c r="N107" s="971"/>
      <c r="O107" s="971"/>
      <c r="P107" s="971"/>
      <c r="Q107" s="971"/>
      <c r="R107" s="971"/>
      <c r="S107" s="971"/>
    </row>
    <row r="108" spans="5:19" s="1" customFormat="1" x14ac:dyDescent="0.25">
      <c r="E108" s="2"/>
      <c r="G108" s="971"/>
      <c r="L108" s="971"/>
      <c r="M108" s="971"/>
      <c r="N108" s="971"/>
      <c r="O108" s="971"/>
      <c r="P108" s="971"/>
      <c r="Q108" s="971"/>
      <c r="R108" s="971"/>
      <c r="S108" s="971"/>
    </row>
    <row r="109" spans="5:19" s="1" customFormat="1" x14ac:dyDescent="0.25">
      <c r="E109" s="2"/>
      <c r="G109" s="971"/>
      <c r="L109" s="971"/>
      <c r="M109" s="971"/>
      <c r="N109" s="971"/>
      <c r="O109" s="971"/>
      <c r="P109" s="971"/>
      <c r="Q109" s="971"/>
      <c r="R109" s="971"/>
      <c r="S109" s="971"/>
    </row>
    <row r="110" spans="5:19" s="1" customFormat="1" x14ac:dyDescent="0.25">
      <c r="E110" s="2"/>
      <c r="G110" s="971"/>
      <c r="L110" s="971"/>
      <c r="M110" s="971"/>
      <c r="N110" s="971"/>
      <c r="O110" s="971"/>
      <c r="P110" s="971"/>
      <c r="Q110" s="971"/>
      <c r="R110" s="971"/>
      <c r="S110" s="971"/>
    </row>
    <row r="111" spans="5:19" s="1" customFormat="1" x14ac:dyDescent="0.25">
      <c r="E111" s="2"/>
      <c r="G111" s="971"/>
      <c r="L111" s="971"/>
      <c r="M111" s="971"/>
      <c r="N111" s="971"/>
      <c r="O111" s="971"/>
      <c r="P111" s="971"/>
      <c r="Q111" s="971"/>
      <c r="R111" s="971"/>
      <c r="S111" s="971"/>
    </row>
    <row r="112" spans="5:19" s="1" customFormat="1" x14ac:dyDescent="0.25">
      <c r="E112" s="2"/>
      <c r="G112" s="971"/>
      <c r="L112" s="971"/>
      <c r="M112" s="971"/>
      <c r="N112" s="971"/>
      <c r="O112" s="971"/>
      <c r="P112" s="971"/>
      <c r="Q112" s="971"/>
      <c r="R112" s="971"/>
      <c r="S112" s="971"/>
    </row>
    <row r="113" spans="5:19" s="1" customFormat="1" x14ac:dyDescent="0.25">
      <c r="E113" s="2"/>
      <c r="G113" s="971"/>
      <c r="L113" s="971"/>
      <c r="M113" s="971"/>
      <c r="N113" s="971"/>
      <c r="O113" s="971"/>
      <c r="P113" s="971"/>
      <c r="Q113" s="971"/>
      <c r="R113" s="971"/>
      <c r="S113" s="971"/>
    </row>
    <row r="114" spans="5:19" s="1" customFormat="1" x14ac:dyDescent="0.25">
      <c r="E114" s="2"/>
      <c r="G114" s="971"/>
      <c r="L114" s="971"/>
      <c r="M114" s="971"/>
      <c r="N114" s="971"/>
      <c r="O114" s="971"/>
      <c r="P114" s="971"/>
      <c r="Q114" s="971"/>
      <c r="R114" s="971"/>
      <c r="S114" s="971"/>
    </row>
    <row r="115" spans="5:19" s="1" customFormat="1" x14ac:dyDescent="0.25">
      <c r="E115" s="2"/>
      <c r="G115" s="971"/>
      <c r="L115" s="971"/>
      <c r="M115" s="971"/>
      <c r="N115" s="971"/>
      <c r="O115" s="971"/>
      <c r="P115" s="971"/>
      <c r="Q115" s="971"/>
      <c r="R115" s="971"/>
      <c r="S115" s="971"/>
    </row>
    <row r="116" spans="5:19" s="1" customFormat="1" x14ac:dyDescent="0.25">
      <c r="E116" s="2"/>
      <c r="G116" s="971"/>
      <c r="L116" s="971"/>
      <c r="M116" s="971"/>
      <c r="N116" s="971"/>
      <c r="O116" s="971"/>
      <c r="P116" s="971"/>
      <c r="Q116" s="971"/>
      <c r="R116" s="971"/>
      <c r="S116" s="971"/>
    </row>
    <row r="117" spans="5:19" s="1" customFormat="1" x14ac:dyDescent="0.25">
      <c r="E117" s="2"/>
      <c r="G117" s="971"/>
      <c r="L117" s="971"/>
      <c r="M117" s="971"/>
      <c r="N117" s="971"/>
      <c r="O117" s="971"/>
      <c r="P117" s="971"/>
      <c r="Q117" s="971"/>
      <c r="R117" s="971"/>
      <c r="S117" s="971"/>
    </row>
    <row r="118" spans="5:19" s="1" customFormat="1" x14ac:dyDescent="0.25">
      <c r="E118" s="2"/>
      <c r="G118" s="971"/>
      <c r="L118" s="971"/>
      <c r="M118" s="971"/>
      <c r="N118" s="971"/>
      <c r="O118" s="971"/>
      <c r="P118" s="971"/>
      <c r="Q118" s="971"/>
      <c r="R118" s="971"/>
      <c r="S118" s="971"/>
    </row>
    <row r="119" spans="5:19" s="1" customFormat="1" x14ac:dyDescent="0.25">
      <c r="E119" s="2"/>
      <c r="G119" s="971"/>
      <c r="L119" s="971"/>
      <c r="M119" s="971"/>
      <c r="N119" s="971"/>
      <c r="O119" s="971"/>
      <c r="P119" s="971"/>
      <c r="Q119" s="971"/>
      <c r="R119" s="971"/>
      <c r="S119" s="971"/>
    </row>
    <row r="120" spans="5:19" s="1" customFormat="1" x14ac:dyDescent="0.25">
      <c r="E120" s="2"/>
      <c r="G120" s="971"/>
      <c r="L120" s="971"/>
      <c r="M120" s="971"/>
      <c r="N120" s="971"/>
      <c r="O120" s="971"/>
      <c r="P120" s="971"/>
      <c r="Q120" s="971"/>
      <c r="R120" s="971"/>
      <c r="S120" s="971"/>
    </row>
    <row r="121" spans="5:19" s="1" customFormat="1" x14ac:dyDescent="0.25">
      <c r="E121" s="2"/>
      <c r="G121" s="971"/>
      <c r="L121" s="971"/>
      <c r="M121" s="971"/>
      <c r="N121" s="971"/>
      <c r="O121" s="971"/>
      <c r="P121" s="971"/>
      <c r="Q121" s="971"/>
      <c r="R121" s="971"/>
      <c r="S121" s="971"/>
    </row>
    <row r="122" spans="5:19" s="1" customFormat="1" x14ac:dyDescent="0.25">
      <c r="E122" s="2"/>
      <c r="G122" s="971"/>
      <c r="L122" s="971"/>
      <c r="M122" s="971"/>
      <c r="N122" s="971"/>
      <c r="O122" s="971"/>
      <c r="P122" s="971"/>
      <c r="Q122" s="971"/>
      <c r="R122" s="971"/>
      <c r="S122" s="971"/>
    </row>
    <row r="123" spans="5:19" s="1" customFormat="1" x14ac:dyDescent="0.25">
      <c r="E123" s="2"/>
      <c r="G123" s="971"/>
      <c r="L123" s="971"/>
      <c r="M123" s="971"/>
      <c r="N123" s="971"/>
      <c r="O123" s="971"/>
      <c r="P123" s="971"/>
      <c r="Q123" s="971"/>
      <c r="R123" s="971"/>
      <c r="S123" s="971"/>
    </row>
    <row r="124" spans="5:19" s="1" customFormat="1" x14ac:dyDescent="0.25">
      <c r="E124" s="2"/>
      <c r="G124" s="971"/>
      <c r="L124" s="971"/>
      <c r="M124" s="971"/>
      <c r="N124" s="971"/>
      <c r="O124" s="971"/>
      <c r="P124" s="971"/>
      <c r="Q124" s="971"/>
      <c r="R124" s="971"/>
      <c r="S124" s="971"/>
    </row>
    <row r="125" spans="5:19" s="1" customFormat="1" x14ac:dyDescent="0.25">
      <c r="E125" s="2"/>
      <c r="G125" s="971"/>
      <c r="L125" s="971"/>
      <c r="M125" s="971"/>
      <c r="N125" s="971"/>
      <c r="O125" s="971"/>
      <c r="P125" s="971"/>
      <c r="Q125" s="971"/>
      <c r="R125" s="971"/>
      <c r="S125" s="971"/>
    </row>
    <row r="126" spans="5:19" s="1" customFormat="1" x14ac:dyDescent="0.25">
      <c r="E126" s="2"/>
      <c r="G126" s="971"/>
      <c r="L126" s="971"/>
      <c r="M126" s="971"/>
      <c r="N126" s="971"/>
      <c r="O126" s="971"/>
      <c r="P126" s="971"/>
      <c r="Q126" s="971"/>
      <c r="R126" s="971"/>
      <c r="S126" s="971"/>
    </row>
    <row r="127" spans="5:19" s="1" customFormat="1" x14ac:dyDescent="0.25">
      <c r="E127" s="2"/>
      <c r="G127" s="971"/>
      <c r="L127" s="971"/>
      <c r="M127" s="971"/>
      <c r="N127" s="971"/>
      <c r="O127" s="971"/>
      <c r="P127" s="971"/>
      <c r="Q127" s="971"/>
      <c r="R127" s="971"/>
      <c r="S127" s="971"/>
    </row>
    <row r="128" spans="5:19" s="1" customFormat="1" x14ac:dyDescent="0.25">
      <c r="E128" s="2"/>
      <c r="G128" s="971"/>
      <c r="L128" s="971"/>
      <c r="M128" s="971"/>
      <c r="N128" s="971"/>
      <c r="O128" s="971"/>
      <c r="P128" s="971"/>
      <c r="Q128" s="971"/>
      <c r="R128" s="971"/>
      <c r="S128" s="971"/>
    </row>
    <row r="129" spans="5:19" s="1" customFormat="1" x14ac:dyDescent="0.25">
      <c r="E129" s="2"/>
      <c r="G129" s="971"/>
      <c r="L129" s="971"/>
      <c r="M129" s="971"/>
      <c r="N129" s="971"/>
      <c r="O129" s="971"/>
      <c r="P129" s="971"/>
      <c r="Q129" s="971"/>
      <c r="R129" s="971"/>
      <c r="S129" s="971"/>
    </row>
    <row r="130" spans="5:19" s="1" customFormat="1" x14ac:dyDescent="0.25">
      <c r="E130" s="2"/>
      <c r="G130" s="971"/>
      <c r="L130" s="971"/>
      <c r="M130" s="971"/>
      <c r="N130" s="971"/>
      <c r="O130" s="971"/>
      <c r="P130" s="971"/>
      <c r="Q130" s="971"/>
      <c r="R130" s="971"/>
      <c r="S130" s="971"/>
    </row>
    <row r="131" spans="5:19" s="1" customFormat="1" x14ac:dyDescent="0.25">
      <c r="E131" s="2"/>
      <c r="G131" s="971"/>
      <c r="L131" s="971"/>
      <c r="M131" s="971"/>
      <c r="N131" s="971"/>
      <c r="O131" s="971"/>
      <c r="P131" s="971"/>
      <c r="Q131" s="971"/>
      <c r="R131" s="971"/>
      <c r="S131" s="971"/>
    </row>
    <row r="132" spans="5:19" s="1" customFormat="1" x14ac:dyDescent="0.25">
      <c r="E132" s="2"/>
      <c r="G132" s="971"/>
      <c r="L132" s="971"/>
      <c r="M132" s="971"/>
      <c r="N132" s="971"/>
      <c r="O132" s="971"/>
      <c r="P132" s="971"/>
      <c r="Q132" s="971"/>
      <c r="R132" s="971"/>
      <c r="S132" s="971"/>
    </row>
    <row r="133" spans="5:19" s="1" customFormat="1" x14ac:dyDescent="0.25">
      <c r="E133" s="2"/>
      <c r="G133" s="971"/>
      <c r="L133" s="971"/>
      <c r="M133" s="971"/>
      <c r="N133" s="971"/>
      <c r="O133" s="971"/>
      <c r="P133" s="971"/>
      <c r="Q133" s="971"/>
      <c r="R133" s="971"/>
      <c r="S133" s="971"/>
    </row>
    <row r="134" spans="5:19" s="1" customFormat="1" x14ac:dyDescent="0.25">
      <c r="E134" s="2"/>
      <c r="G134" s="971"/>
      <c r="L134" s="971"/>
      <c r="M134" s="971"/>
      <c r="N134" s="971"/>
      <c r="O134" s="971"/>
      <c r="P134" s="971"/>
      <c r="Q134" s="971"/>
      <c r="R134" s="971"/>
      <c r="S134" s="971"/>
    </row>
    <row r="135" spans="5:19" s="1" customFormat="1" x14ac:dyDescent="0.25">
      <c r="E135" s="2"/>
      <c r="G135" s="971"/>
      <c r="L135" s="971"/>
      <c r="M135" s="971"/>
      <c r="N135" s="971"/>
      <c r="O135" s="971"/>
      <c r="P135" s="971"/>
      <c r="Q135" s="971"/>
      <c r="R135" s="971"/>
      <c r="S135" s="971"/>
    </row>
    <row r="136" spans="5:19" s="1" customFormat="1" x14ac:dyDescent="0.25">
      <c r="E136" s="2"/>
      <c r="G136" s="971"/>
      <c r="L136" s="971"/>
      <c r="M136" s="971"/>
      <c r="N136" s="971"/>
      <c r="O136" s="971"/>
      <c r="P136" s="971"/>
      <c r="Q136" s="971"/>
      <c r="R136" s="971"/>
      <c r="S136" s="971"/>
    </row>
    <row r="137" spans="5:19" s="1" customFormat="1" x14ac:dyDescent="0.25">
      <c r="E137" s="2"/>
      <c r="G137" s="971"/>
      <c r="L137" s="971"/>
      <c r="M137" s="971"/>
      <c r="N137" s="971"/>
      <c r="O137" s="971"/>
      <c r="P137" s="971"/>
      <c r="Q137" s="971"/>
      <c r="R137" s="971"/>
      <c r="S137" s="971"/>
    </row>
    <row r="138" spans="5:19" s="1" customFormat="1" x14ac:dyDescent="0.25">
      <c r="E138" s="2"/>
      <c r="G138" s="971"/>
      <c r="L138" s="971"/>
      <c r="M138" s="971"/>
      <c r="N138" s="971"/>
      <c r="O138" s="971"/>
      <c r="P138" s="971"/>
      <c r="Q138" s="971"/>
      <c r="R138" s="971"/>
      <c r="S138" s="971"/>
    </row>
    <row r="139" spans="5:19" s="1" customFormat="1" x14ac:dyDescent="0.25">
      <c r="E139" s="2"/>
      <c r="G139" s="971"/>
      <c r="L139" s="971"/>
      <c r="M139" s="971"/>
      <c r="N139" s="971"/>
      <c r="O139" s="971"/>
      <c r="P139" s="971"/>
      <c r="Q139" s="971"/>
      <c r="R139" s="971"/>
      <c r="S139" s="971"/>
    </row>
    <row r="140" spans="5:19" s="1" customFormat="1" x14ac:dyDescent="0.25">
      <c r="E140" s="2"/>
      <c r="G140" s="971"/>
      <c r="L140" s="971"/>
      <c r="M140" s="971"/>
      <c r="N140" s="971"/>
      <c r="O140" s="971"/>
      <c r="P140" s="971"/>
      <c r="Q140" s="971"/>
      <c r="R140" s="971"/>
      <c r="S140" s="971"/>
    </row>
    <row r="141" spans="5:19" s="1" customFormat="1" x14ac:dyDescent="0.25">
      <c r="E141" s="2"/>
      <c r="G141" s="971"/>
      <c r="L141" s="971"/>
      <c r="M141" s="971"/>
      <c r="N141" s="971"/>
      <c r="O141" s="971"/>
      <c r="P141" s="971"/>
      <c r="Q141" s="971"/>
      <c r="R141" s="971"/>
      <c r="S141" s="971"/>
    </row>
    <row r="142" spans="5:19" s="1" customFormat="1" x14ac:dyDescent="0.25">
      <c r="E142" s="2"/>
      <c r="G142" s="971"/>
      <c r="L142" s="971"/>
      <c r="M142" s="971"/>
      <c r="N142" s="971"/>
      <c r="O142" s="971"/>
      <c r="P142" s="971"/>
      <c r="Q142" s="971"/>
      <c r="R142" s="971"/>
      <c r="S142" s="971"/>
    </row>
    <row r="143" spans="5:19" s="1" customFormat="1" x14ac:dyDescent="0.25">
      <c r="E143" s="2"/>
      <c r="G143" s="971"/>
      <c r="L143" s="971"/>
      <c r="M143" s="971"/>
      <c r="N143" s="971"/>
      <c r="O143" s="971"/>
      <c r="P143" s="971"/>
      <c r="Q143" s="971"/>
      <c r="R143" s="971"/>
      <c r="S143" s="971"/>
    </row>
    <row r="144" spans="5:19" s="1" customFormat="1" x14ac:dyDescent="0.25">
      <c r="E144" s="2"/>
      <c r="G144" s="971"/>
      <c r="L144" s="971"/>
      <c r="M144" s="971"/>
      <c r="N144" s="971"/>
      <c r="O144" s="971"/>
      <c r="P144" s="971"/>
      <c r="Q144" s="971"/>
      <c r="R144" s="971"/>
      <c r="S144" s="971"/>
    </row>
    <row r="145" spans="5:19" s="1" customFormat="1" x14ac:dyDescent="0.25">
      <c r="E145" s="2"/>
      <c r="G145" s="971"/>
      <c r="L145" s="971"/>
      <c r="M145" s="971"/>
      <c r="N145" s="971"/>
      <c r="O145" s="971"/>
      <c r="P145" s="971"/>
      <c r="Q145" s="971"/>
      <c r="R145" s="971"/>
      <c r="S145" s="971"/>
    </row>
    <row r="146" spans="5:19" s="1" customFormat="1" x14ac:dyDescent="0.25">
      <c r="E146" s="2"/>
      <c r="G146" s="971"/>
      <c r="L146" s="971"/>
      <c r="M146" s="971"/>
      <c r="N146" s="971"/>
      <c r="O146" s="971"/>
      <c r="P146" s="971"/>
      <c r="Q146" s="971"/>
      <c r="R146" s="971"/>
      <c r="S146" s="971"/>
    </row>
    <row r="147" spans="5:19" s="1" customFormat="1" x14ac:dyDescent="0.25">
      <c r="E147" s="2"/>
      <c r="G147" s="971"/>
      <c r="L147" s="971"/>
      <c r="M147" s="971"/>
      <c r="N147" s="971"/>
      <c r="O147" s="971"/>
      <c r="P147" s="971"/>
      <c r="Q147" s="971"/>
      <c r="R147" s="971"/>
      <c r="S147" s="971"/>
    </row>
    <row r="148" spans="5:19" s="1" customFormat="1" x14ac:dyDescent="0.25">
      <c r="E148" s="2"/>
      <c r="G148" s="971"/>
      <c r="L148" s="971"/>
      <c r="M148" s="971"/>
      <c r="N148" s="971"/>
      <c r="O148" s="971"/>
      <c r="P148" s="971"/>
      <c r="Q148" s="971"/>
      <c r="R148" s="971"/>
      <c r="S148" s="971"/>
    </row>
    <row r="149" spans="5:19" s="1" customFormat="1" x14ac:dyDescent="0.25">
      <c r="E149" s="2"/>
      <c r="G149" s="971"/>
      <c r="L149" s="971"/>
      <c r="M149" s="971"/>
      <c r="N149" s="971"/>
      <c r="O149" s="971"/>
      <c r="P149" s="971"/>
      <c r="Q149" s="971"/>
      <c r="R149" s="971"/>
      <c r="S149" s="971"/>
    </row>
    <row r="150" spans="5:19" s="1" customFormat="1" x14ac:dyDescent="0.25">
      <c r="E150" s="2"/>
      <c r="G150" s="971"/>
      <c r="L150" s="971"/>
      <c r="M150" s="971"/>
      <c r="N150" s="971"/>
      <c r="O150" s="971"/>
      <c r="P150" s="971"/>
      <c r="Q150" s="971"/>
      <c r="R150" s="971"/>
      <c r="S150" s="971"/>
    </row>
    <row r="151" spans="5:19" s="1" customFormat="1" x14ac:dyDescent="0.25">
      <c r="E151" s="2"/>
      <c r="G151" s="971"/>
      <c r="L151" s="971"/>
      <c r="M151" s="971"/>
      <c r="N151" s="971"/>
      <c r="O151" s="971"/>
      <c r="P151" s="971"/>
      <c r="Q151" s="971"/>
      <c r="R151" s="971"/>
      <c r="S151" s="971"/>
    </row>
    <row r="152" spans="5:19" s="1" customFormat="1" x14ac:dyDescent="0.25">
      <c r="E152" s="2"/>
      <c r="G152" s="971"/>
      <c r="L152" s="971"/>
      <c r="M152" s="971"/>
      <c r="N152" s="971"/>
      <c r="O152" s="971"/>
      <c r="P152" s="971"/>
      <c r="Q152" s="971"/>
      <c r="R152" s="971"/>
      <c r="S152" s="971"/>
    </row>
    <row r="153" spans="5:19" s="1" customFormat="1" x14ac:dyDescent="0.25">
      <c r="E153" s="2"/>
      <c r="G153" s="971"/>
      <c r="L153" s="971"/>
      <c r="M153" s="971"/>
      <c r="N153" s="971"/>
      <c r="O153" s="971"/>
      <c r="P153" s="971"/>
      <c r="Q153" s="971"/>
      <c r="R153" s="971"/>
      <c r="S153" s="971"/>
    </row>
    <row r="154" spans="5:19" s="1" customFormat="1" x14ac:dyDescent="0.25">
      <c r="E154" s="2"/>
      <c r="G154" s="971"/>
      <c r="L154" s="971"/>
      <c r="M154" s="971"/>
      <c r="N154" s="971"/>
      <c r="O154" s="971"/>
      <c r="P154" s="971"/>
      <c r="Q154" s="971"/>
      <c r="R154" s="971"/>
      <c r="S154" s="971"/>
    </row>
    <row r="155" spans="5:19" s="1" customFormat="1" x14ac:dyDescent="0.25">
      <c r="E155" s="2"/>
      <c r="G155" s="971"/>
      <c r="L155" s="971"/>
      <c r="M155" s="971"/>
      <c r="N155" s="971"/>
      <c r="O155" s="971"/>
      <c r="P155" s="971"/>
      <c r="Q155" s="971"/>
      <c r="R155" s="971"/>
      <c r="S155" s="971"/>
    </row>
    <row r="156" spans="5:19" s="1" customFormat="1" x14ac:dyDescent="0.25">
      <c r="E156" s="2"/>
      <c r="G156" s="971"/>
      <c r="L156" s="971"/>
      <c r="M156" s="971"/>
      <c r="N156" s="971"/>
      <c r="O156" s="971"/>
      <c r="P156" s="971"/>
      <c r="Q156" s="971"/>
      <c r="R156" s="971"/>
      <c r="S156" s="971"/>
    </row>
    <row r="157" spans="5:19" s="1" customFormat="1" x14ac:dyDescent="0.25">
      <c r="E157" s="2"/>
      <c r="G157" s="971"/>
      <c r="L157" s="971"/>
      <c r="M157" s="971"/>
      <c r="N157" s="971"/>
      <c r="O157" s="971"/>
      <c r="P157" s="971"/>
      <c r="Q157" s="971"/>
      <c r="R157" s="971"/>
      <c r="S157" s="971"/>
    </row>
    <row r="158" spans="5:19" s="1" customFormat="1" x14ac:dyDescent="0.25">
      <c r="E158" s="2"/>
      <c r="G158" s="971"/>
      <c r="L158" s="971"/>
      <c r="M158" s="971"/>
      <c r="N158" s="971"/>
      <c r="O158" s="971"/>
      <c r="P158" s="971"/>
      <c r="Q158" s="971"/>
      <c r="R158" s="971"/>
      <c r="S158" s="971"/>
    </row>
    <row r="159" spans="5:19" s="1" customFormat="1" x14ac:dyDescent="0.25">
      <c r="E159" s="2"/>
      <c r="G159" s="971"/>
      <c r="L159" s="971"/>
      <c r="M159" s="971"/>
      <c r="N159" s="971"/>
      <c r="O159" s="971"/>
      <c r="P159" s="971"/>
      <c r="Q159" s="971"/>
      <c r="R159" s="971"/>
      <c r="S159" s="971"/>
    </row>
    <row r="160" spans="5:19" s="1" customFormat="1" x14ac:dyDescent="0.25">
      <c r="E160" s="2"/>
      <c r="G160" s="971"/>
      <c r="L160" s="971"/>
      <c r="M160" s="971"/>
      <c r="N160" s="971"/>
      <c r="O160" s="971"/>
      <c r="P160" s="971"/>
      <c r="Q160" s="971"/>
      <c r="R160" s="971"/>
      <c r="S160" s="971"/>
    </row>
    <row r="161" spans="5:19" s="1" customFormat="1" x14ac:dyDescent="0.25">
      <c r="E161" s="2"/>
      <c r="G161" s="971"/>
      <c r="L161" s="971"/>
      <c r="M161" s="971"/>
      <c r="N161" s="971"/>
      <c r="O161" s="971"/>
      <c r="P161" s="971"/>
      <c r="Q161" s="971"/>
      <c r="R161" s="971"/>
      <c r="S161" s="971"/>
    </row>
    <row r="162" spans="5:19" s="1" customFormat="1" x14ac:dyDescent="0.25">
      <c r="E162" s="2"/>
      <c r="G162" s="971"/>
      <c r="L162" s="971"/>
      <c r="M162" s="971"/>
      <c r="N162" s="971"/>
      <c r="O162" s="971"/>
      <c r="P162" s="971"/>
      <c r="Q162" s="971"/>
      <c r="R162" s="971"/>
      <c r="S162" s="971"/>
    </row>
    <row r="163" spans="5:19" s="1" customFormat="1" x14ac:dyDescent="0.25">
      <c r="E163" s="2"/>
      <c r="G163" s="971"/>
      <c r="L163" s="971"/>
      <c r="M163" s="971"/>
      <c r="N163" s="971"/>
      <c r="O163" s="971"/>
      <c r="P163" s="971"/>
      <c r="Q163" s="971"/>
      <c r="R163" s="971"/>
      <c r="S163" s="971"/>
    </row>
    <row r="164" spans="5:19" s="1" customFormat="1" x14ac:dyDescent="0.25">
      <c r="E164" s="2"/>
      <c r="G164" s="971"/>
      <c r="L164" s="971"/>
      <c r="M164" s="971"/>
      <c r="N164" s="971"/>
      <c r="O164" s="971"/>
      <c r="P164" s="971"/>
      <c r="Q164" s="971"/>
      <c r="R164" s="971"/>
      <c r="S164" s="971"/>
    </row>
    <row r="165" spans="5:19" s="1" customFormat="1" x14ac:dyDescent="0.25">
      <c r="E165" s="2"/>
      <c r="G165" s="971"/>
      <c r="L165" s="971"/>
      <c r="M165" s="971"/>
      <c r="N165" s="971"/>
      <c r="O165" s="971"/>
      <c r="P165" s="971"/>
      <c r="Q165" s="971"/>
      <c r="R165" s="971"/>
      <c r="S165" s="971"/>
    </row>
    <row r="166" spans="5:19" s="1" customFormat="1" x14ac:dyDescent="0.25">
      <c r="E166" s="2"/>
      <c r="G166" s="971"/>
      <c r="L166" s="971"/>
      <c r="M166" s="971"/>
      <c r="N166" s="971"/>
      <c r="O166" s="971"/>
      <c r="P166" s="971"/>
      <c r="Q166" s="971"/>
      <c r="R166" s="971"/>
      <c r="S166" s="971"/>
    </row>
    <row r="167" spans="5:19" s="1" customFormat="1" x14ac:dyDescent="0.25">
      <c r="E167" s="2"/>
      <c r="G167" s="971"/>
      <c r="L167" s="971"/>
      <c r="M167" s="971"/>
      <c r="N167" s="971"/>
      <c r="O167" s="971"/>
      <c r="P167" s="971"/>
      <c r="Q167" s="971"/>
      <c r="R167" s="971"/>
      <c r="S167" s="971"/>
    </row>
    <row r="168" spans="5:19" s="1" customFormat="1" x14ac:dyDescent="0.25">
      <c r="E168" s="2"/>
      <c r="G168" s="971"/>
      <c r="L168" s="971"/>
      <c r="M168" s="971"/>
      <c r="N168" s="971"/>
      <c r="O168" s="971"/>
      <c r="P168" s="971"/>
      <c r="Q168" s="971"/>
      <c r="R168" s="971"/>
      <c r="S168" s="971"/>
    </row>
    <row r="169" spans="5:19" s="1" customFormat="1" x14ac:dyDescent="0.25">
      <c r="E169" s="2"/>
      <c r="G169" s="971"/>
      <c r="L169" s="971"/>
      <c r="M169" s="971"/>
      <c r="N169" s="971"/>
      <c r="O169" s="971"/>
      <c r="P169" s="971"/>
      <c r="Q169" s="971"/>
      <c r="R169" s="971"/>
      <c r="S169" s="971"/>
    </row>
    <row r="170" spans="5:19" s="1" customFormat="1" x14ac:dyDescent="0.25">
      <c r="E170" s="2"/>
      <c r="G170" s="971"/>
      <c r="L170" s="971"/>
      <c r="M170" s="971"/>
      <c r="N170" s="971"/>
      <c r="O170" s="971"/>
      <c r="P170" s="971"/>
      <c r="Q170" s="971"/>
      <c r="R170" s="971"/>
      <c r="S170" s="971"/>
    </row>
    <row r="171" spans="5:19" s="1" customFormat="1" x14ac:dyDescent="0.25">
      <c r="E171" s="2"/>
      <c r="G171" s="971"/>
      <c r="L171" s="971"/>
      <c r="M171" s="971"/>
      <c r="N171" s="971"/>
      <c r="O171" s="971"/>
      <c r="P171" s="971"/>
      <c r="Q171" s="971"/>
      <c r="R171" s="971"/>
      <c r="S171" s="971"/>
    </row>
    <row r="172" spans="5:19" s="1" customFormat="1" x14ac:dyDescent="0.25">
      <c r="E172" s="2"/>
      <c r="G172" s="971"/>
      <c r="L172" s="971"/>
      <c r="M172" s="971"/>
      <c r="N172" s="971"/>
      <c r="O172" s="971"/>
      <c r="P172" s="971"/>
      <c r="Q172" s="971"/>
      <c r="R172" s="971"/>
      <c r="S172" s="971"/>
    </row>
    <row r="173" spans="5:19" s="1" customFormat="1" x14ac:dyDescent="0.25">
      <c r="E173" s="2"/>
      <c r="G173" s="971"/>
      <c r="L173" s="971"/>
      <c r="M173" s="971"/>
      <c r="N173" s="971"/>
      <c r="O173" s="971"/>
      <c r="P173" s="971"/>
      <c r="Q173" s="971"/>
      <c r="R173" s="971"/>
      <c r="S173" s="971"/>
    </row>
    <row r="174" spans="5:19" s="1" customFormat="1" x14ac:dyDescent="0.25">
      <c r="E174" s="2"/>
      <c r="G174" s="971"/>
      <c r="L174" s="971"/>
      <c r="M174" s="971"/>
      <c r="N174" s="971"/>
      <c r="O174" s="971"/>
      <c r="P174" s="971"/>
      <c r="Q174" s="971"/>
      <c r="R174" s="971"/>
      <c r="S174" s="971"/>
    </row>
    <row r="175" spans="5:19" s="1" customFormat="1" x14ac:dyDescent="0.25">
      <c r="E175" s="2"/>
      <c r="G175" s="971"/>
      <c r="L175" s="971"/>
      <c r="M175" s="971"/>
      <c r="N175" s="971"/>
      <c r="O175" s="971"/>
      <c r="P175" s="971"/>
      <c r="Q175" s="971"/>
      <c r="R175" s="971"/>
      <c r="S175" s="971"/>
    </row>
    <row r="176" spans="5:19" s="1" customFormat="1" x14ac:dyDescent="0.25">
      <c r="E176" s="2"/>
      <c r="G176" s="971"/>
      <c r="L176" s="971"/>
      <c r="M176" s="971"/>
      <c r="N176" s="971"/>
      <c r="O176" s="971"/>
      <c r="P176" s="971"/>
      <c r="Q176" s="971"/>
      <c r="R176" s="971"/>
      <c r="S176" s="971"/>
    </row>
    <row r="177" spans="5:19" s="1" customFormat="1" x14ac:dyDescent="0.25">
      <c r="E177" s="2"/>
      <c r="G177" s="971"/>
      <c r="L177" s="971"/>
      <c r="M177" s="971"/>
      <c r="N177" s="971"/>
      <c r="O177" s="971"/>
      <c r="P177" s="971"/>
      <c r="Q177" s="971"/>
      <c r="R177" s="971"/>
      <c r="S177" s="971"/>
    </row>
    <row r="178" spans="5:19" s="1" customFormat="1" x14ac:dyDescent="0.25">
      <c r="E178" s="2"/>
      <c r="G178" s="971"/>
      <c r="L178" s="971"/>
      <c r="M178" s="971"/>
      <c r="N178" s="971"/>
      <c r="O178" s="971"/>
      <c r="P178" s="971"/>
      <c r="Q178" s="971"/>
      <c r="R178" s="971"/>
      <c r="S178" s="971"/>
    </row>
    <row r="179" spans="5:19" s="1" customFormat="1" x14ac:dyDescent="0.25">
      <c r="E179" s="2"/>
      <c r="G179" s="971"/>
      <c r="L179" s="971"/>
      <c r="M179" s="971"/>
      <c r="N179" s="971"/>
      <c r="O179" s="971"/>
      <c r="P179" s="971"/>
      <c r="Q179" s="971"/>
      <c r="R179" s="971"/>
      <c r="S179" s="971"/>
    </row>
    <row r="180" spans="5:19" s="1" customFormat="1" x14ac:dyDescent="0.25">
      <c r="E180" s="2"/>
      <c r="G180" s="971"/>
      <c r="L180" s="971"/>
      <c r="M180" s="971"/>
      <c r="N180" s="971"/>
      <c r="O180" s="971"/>
      <c r="P180" s="971"/>
      <c r="Q180" s="971"/>
      <c r="R180" s="971"/>
      <c r="S180" s="971"/>
    </row>
    <row r="181" spans="5:19" s="1" customFormat="1" x14ac:dyDescent="0.25">
      <c r="E181" s="2"/>
      <c r="G181" s="971"/>
      <c r="L181" s="971"/>
      <c r="M181" s="971"/>
      <c r="N181" s="971"/>
      <c r="O181" s="971"/>
      <c r="P181" s="971"/>
      <c r="Q181" s="971"/>
      <c r="R181" s="971"/>
      <c r="S181" s="971"/>
    </row>
    <row r="182" spans="5:19" s="1" customFormat="1" x14ac:dyDescent="0.25">
      <c r="E182" s="2"/>
      <c r="G182" s="971"/>
      <c r="L182" s="971"/>
      <c r="M182" s="971"/>
      <c r="N182" s="971"/>
      <c r="O182" s="971"/>
      <c r="P182" s="971"/>
      <c r="Q182" s="971"/>
      <c r="R182" s="971"/>
      <c r="S182" s="971"/>
    </row>
    <row r="183" spans="5:19" s="1" customFormat="1" x14ac:dyDescent="0.25">
      <c r="E183" s="2"/>
      <c r="G183" s="971"/>
      <c r="L183" s="971"/>
      <c r="M183" s="971"/>
      <c r="N183" s="971"/>
      <c r="O183" s="971"/>
      <c r="P183" s="971"/>
      <c r="Q183" s="971"/>
      <c r="R183" s="971"/>
      <c r="S183" s="971"/>
    </row>
    <row r="184" spans="5:19" s="1" customFormat="1" x14ac:dyDescent="0.25">
      <c r="E184" s="2"/>
      <c r="G184" s="971"/>
      <c r="L184" s="971"/>
      <c r="M184" s="971"/>
      <c r="N184" s="971"/>
      <c r="O184" s="971"/>
      <c r="P184" s="971"/>
      <c r="Q184" s="971"/>
      <c r="R184" s="971"/>
      <c r="S184" s="971"/>
    </row>
    <row r="185" spans="5:19" s="1" customFormat="1" x14ac:dyDescent="0.25">
      <c r="E185" s="2"/>
      <c r="G185" s="971"/>
      <c r="L185" s="971"/>
      <c r="M185" s="971"/>
      <c r="N185" s="971"/>
      <c r="O185" s="971"/>
      <c r="P185" s="971"/>
      <c r="Q185" s="971"/>
      <c r="R185" s="971"/>
      <c r="S185" s="971"/>
    </row>
    <row r="186" spans="5:19" s="1" customFormat="1" x14ac:dyDescent="0.25">
      <c r="E186" s="2"/>
      <c r="G186" s="971"/>
      <c r="L186" s="971"/>
      <c r="M186" s="971"/>
      <c r="N186" s="971"/>
      <c r="O186" s="971"/>
      <c r="P186" s="971"/>
      <c r="Q186" s="971"/>
      <c r="R186" s="971"/>
      <c r="S186" s="971"/>
    </row>
  </sheetData>
  <sheetProtection algorithmName="SHA-512" hashValue="7vkG0FyGdsCMZ89NDoeDOKymAZYR+4YO1DhN805/ilufBWFrFASGYRBJStCLuXYSK0GfkYJBsjcZOIwC4PBBZQ==" saltValue="FF9lKLb0fQRWq26vqloeow==" spinCount="100000" sheet="1" formatCells="0"/>
  <sortState xmlns:xlrd2="http://schemas.microsoft.com/office/spreadsheetml/2017/richdata2" ref="U82:U86">
    <sortCondition ref="U82"/>
  </sortState>
  <dataConsolidate/>
  <mergeCells count="5">
    <mergeCell ref="B46:F46"/>
    <mergeCell ref="B49:F49"/>
    <mergeCell ref="B40:F40"/>
    <mergeCell ref="B35:C35"/>
    <mergeCell ref="E35:F35"/>
  </mergeCells>
  <phoneticPr fontId="24" type="noConversion"/>
  <conditionalFormatting sqref="F17">
    <cfRule type="expression" dxfId="231" priority="8">
      <formula>$F$5&lt;&gt;$J$5</formula>
    </cfRule>
  </conditionalFormatting>
  <conditionalFormatting sqref="E16:F16 E17">
    <cfRule type="expression" dxfId="230" priority="126">
      <formula>$F$5&lt;&gt;$J$5</formula>
    </cfRule>
  </conditionalFormatting>
  <conditionalFormatting sqref="E19:F19">
    <cfRule type="expression" dxfId="229" priority="128">
      <formula>$F$5=$J$9</formula>
    </cfRule>
  </conditionalFormatting>
  <conditionalFormatting sqref="E22:F22">
    <cfRule type="expression" dxfId="228" priority="129">
      <formula>$F$21=$N$29</formula>
    </cfRule>
  </conditionalFormatting>
  <conditionalFormatting sqref="E14:F14">
    <cfRule type="expression" dxfId="227" priority="130">
      <formula>$F$5&lt;&gt;$J$9</formula>
    </cfRule>
  </conditionalFormatting>
  <conditionalFormatting sqref="E14:F23">
    <cfRule type="expression" dxfId="226" priority="4">
      <formula>$F$5=$T$5</formula>
    </cfRule>
  </conditionalFormatting>
  <conditionalFormatting sqref="E25:F28">
    <cfRule type="expression" dxfId="225" priority="3">
      <formula>$F$5=$T$5</formula>
    </cfRule>
  </conditionalFormatting>
  <conditionalFormatting sqref="E24:F24">
    <cfRule type="expression" dxfId="224" priority="2">
      <formula>$F$5=$T$5</formula>
    </cfRule>
  </conditionalFormatting>
  <conditionalFormatting sqref="E12:F13">
    <cfRule type="expression" dxfId="223" priority="1">
      <formula>$F$5=$T$5</formula>
    </cfRule>
  </conditionalFormatting>
  <dataValidations xWindow="982" yWindow="379" count="28">
    <dataValidation type="list" allowBlank="1" showInputMessage="1" showErrorMessage="1" sqref="M98" xr:uid="{00000000-0002-0000-0200-000000000000}">
      <formula1>$M$96:$M$97</formula1>
    </dataValidation>
    <dataValidation allowBlank="1" showErrorMessage="1" prompt="Please state the company name." sqref="C23:C27 B35" xr:uid="{00000000-0002-0000-0200-000001000000}"/>
    <dataValidation allowBlank="1" showErrorMessage="1" prompt="Please state the individual BREEAM AP's name and company name  e.g. Joe Bloggs (AP Services Ltd)" sqref="C28" xr:uid="{00000000-0002-0000-0200-000002000000}"/>
    <dataValidation allowBlank="1" showErrorMessage="1" sqref="F13:F14 C29:C32 C14:C17 C6 E34" xr:uid="{00000000-0002-0000-0200-000003000000}"/>
    <dataValidation allowBlank="1" showInputMessage="1" showErrorMessage="1" prompt="This is the building address that will appear on the BREEAM certificate and GreenBook Live listing." sqref="B16" xr:uid="{00000000-0002-0000-0200-000004000000}"/>
    <dataValidation allowBlank="1" showInputMessage="1" showErrorMessage="1" prompt="This is a unique reference number supplied by BRE at project registration. If you wish to use this tool to begin an assessment but do not have a reference number, then enter &quot;to be confirmed&quot; in this field (and enter the reference number at a later date)." sqref="C5" xr:uid="{00000000-0002-0000-0200-000005000000}"/>
    <dataValidation allowBlank="1" showInputMessage="1" showErrorMessage="1" promptTitle="Building name" prompt="If you are unable to confirm this information at present, then enter &quot;to be confirmed&quot; in this field (and confirm at a later date)" sqref="C13" xr:uid="{00000000-0002-0000-0200-000006000000}"/>
    <dataValidation type="list" allowBlank="1" showErrorMessage="1" error="Incorrect entry, please re-try." sqref="F8" xr:uid="{00000000-0002-0000-0200-000007000000}">
      <formula1>$N$18:$N$20</formula1>
    </dataValidation>
    <dataValidation allowBlank="1" showInputMessage="1" showErrorMessage="1" error="Invalid data entry, please retry." prompt="This information will determine, in part, the applicability of BREEAM issue Ene07 and the number of credits available for BREEAM issue Hea02, when the criteria have been finalised for laboratory facilities." sqref="M43" xr:uid="{00000000-0002-0000-0200-000008000000}"/>
    <dataValidation type="list" allowBlank="1" showErrorMessage="1" error="Invalid data entry, please retry." sqref="F21" xr:uid="{00000000-0002-0000-0200-000009000000}">
      <formula1>AD_Labsize_list</formula1>
    </dataValidation>
    <dataValidation type="list" allowBlank="1" showInputMessage="1" showErrorMessage="1" error="Invalid data entry, please retry." prompt="If the building has a mixture of lab space of differeing containment levels, then select the highest contaiment level applicable. e.g. if there are level 1 and 2 category labs then select cat level 2._x000a_" sqref="F22" xr:uid="{00000000-0002-0000-0200-00000A000000}">
      <formula1>$N$31:$N$33</formula1>
    </dataValidation>
    <dataValidation type="list" showErrorMessage="1" error="Invalid data entry, please retry." sqref="F16:F17" xr:uid="{00000000-0002-0000-0200-00000B000000}">
      <formula1>AD_YesNo</formula1>
    </dataValidation>
    <dataValidation type="list" allowBlank="1" showErrorMessage="1" error="Invalid data entry, please retry." sqref="F23 F25:F26 F18:F20" xr:uid="{00000000-0002-0000-0200-00000C000000}">
      <formula1>AD_YesNo</formula1>
    </dataValidation>
    <dataValidation type="list" allowBlank="1" showInputMessage="1" showErrorMessage="1" sqref="M64" xr:uid="{00000000-0002-0000-0200-00000D000000}">
      <formula1>TRA01_BuildType</formula1>
    </dataValidation>
    <dataValidation allowBlank="1" showInputMessage="1" showErrorMessage="1" prompt="Insert an electornic signature here." sqref="C61" xr:uid="{00000000-0002-0000-0200-00000E000000}"/>
    <dataValidation type="list" allowBlank="1" showInputMessage="1" showErrorMessage="1" error="Invalid data entry, please re-try" sqref="F9" xr:uid="{00000000-0002-0000-0200-00000F000000}">
      <formula1>AD_BREEAM_stage</formula1>
    </dataValidation>
    <dataValidation allowBlank="1" showInputMessage="1" showErrorMessage="1" error="Invalid data entry, please retry." sqref="F30:F32" xr:uid="{00000000-0002-0000-0200-000010000000}"/>
    <dataValidation type="list" allowBlank="1" showErrorMessage="1" error="Please review, your data entry is invalid." sqref="F5" xr:uid="{00000000-0002-0000-0200-000011000000}">
      <formula1>$J$5:$J$9</formula1>
    </dataValidation>
    <dataValidation type="list" allowBlank="1" showInputMessage="1" showErrorMessage="1" error="Invalid data entry, please re-try" sqref="F10" xr:uid="{00000000-0002-0000-0200-000012000000}">
      <formula1>$N$8</formula1>
    </dataValidation>
    <dataValidation allowBlank="1" showErrorMessage="1" prompt=" " sqref="F12" xr:uid="{00000000-0002-0000-0200-000013000000}"/>
    <dataValidation allowBlank="1" showInputMessage="1" showErrorMessage="1" prompt="Bruksareal (BRA) er arealet innenfor omsluttede vegger, ref NS 3940:2012" sqref="E12" xr:uid="{00000000-0002-0000-0200-000014000000}"/>
    <dataValidation allowBlank="1" showInputMessage="1" showErrorMessage="1" prompt="Bruttoareal (BTA) er arealet begrenset av ytterveggens utside eller midt i delevegg, ref NS 3940:2012" sqref="E13" xr:uid="{00000000-0002-0000-0200-000015000000}"/>
    <dataValidation allowBlank="1" showInputMessage="1" showErrorMessage="1" prompt="Det er ingen definisjon av BRAs (salgbart bruksareal) iht. NS 3940:2012. BRAs er den enkelte leilighets BRA, det vil si areal innenfor omsluttende vegger i leiligheten. " sqref="E14" xr:uid="{00000000-0002-0000-0200-000016000000}"/>
    <dataValidation type="list" allowBlank="1" showErrorMessage="1" error="Please review, your data entry is invalid." sqref="F6" xr:uid="{00000000-0002-0000-0200-000017000000}">
      <formula1>$L$5:$L$13</formula1>
    </dataValidation>
    <dataValidation type="list" allowBlank="1" showErrorMessage="1" error="Incorrect entry, please retry." sqref="F7" xr:uid="{00000000-0002-0000-0200-000018000000}">
      <formula1>$N$11:$N$14</formula1>
    </dataValidation>
    <dataValidation type="list" allowBlank="1" showInputMessage="1" showErrorMessage="1" error="Invalid data entry, please retry." prompt="This information determines the applicability of BREEAM issue Ene02a." sqref="G77 N42" xr:uid="{00000000-0002-0000-0200-000019000000}">
      <formula1>AD_YesNo</formula1>
    </dataValidation>
    <dataValidation type="list" allowBlank="1" showErrorMessage="1" error="Invalid data entry, please retry." sqref="F24" xr:uid="{00000000-0002-0000-0200-00001A000000}">
      <formula1>$L$50:$L$53</formula1>
    </dataValidation>
    <dataValidation allowBlank="1" showInputMessage="1" showErrorMessage="1" promptTitle="Building description" prompt="Include a brief description og the building (layout, number of floors, etc.). Indicate what is included and if there are any areas excluded from the assessment." sqref="E35:F35" xr:uid="{00000000-0002-0000-0200-00001C000000}"/>
  </dataValidations>
  <printOptions horizontalCentered="1"/>
  <pageMargins left="0.43307086614173229" right="0.31496062992125984" top="0.47244094488188981" bottom="0.15748031496062992" header="0.27559055118110237" footer="0.15748031496062992"/>
  <pageSetup paperSize="9" scale="52" orientation="landscape" errors="blank"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1353"/>
  <sheetViews>
    <sheetView showGridLines="0" topLeftCell="C1" zoomScale="85" zoomScaleNormal="85" workbookViewId="0">
      <pane ySplit="9" topLeftCell="A10" activePane="bottomLeft" state="frozen"/>
      <selection pane="bottomLeft" activeCell="B10" sqref="B10"/>
    </sheetView>
  </sheetViews>
  <sheetFormatPr defaultColWidth="9.140625" defaultRowHeight="15" x14ac:dyDescent="0.25"/>
  <cols>
    <col min="1" max="1" width="2.5703125" style="769" hidden="1" customWidth="1"/>
    <col min="2" max="2" width="2.85546875" style="768" hidden="1" customWidth="1"/>
    <col min="3" max="3" width="7" style="768" customWidth="1"/>
    <col min="4" max="4" width="119" style="768" customWidth="1"/>
    <col min="5" max="5" width="32" style="768" customWidth="1"/>
    <col min="6" max="6" width="17.85546875" style="768" customWidth="1"/>
    <col min="7" max="7" width="20" style="768" bestFit="1" customWidth="1"/>
    <col min="8" max="8" width="20.5703125" style="768" customWidth="1"/>
    <col min="9" max="9" width="51.7109375" style="768" customWidth="1"/>
    <col min="10" max="10" width="7.85546875" style="768" hidden="1" customWidth="1"/>
    <col min="11" max="11" width="7.5703125" style="768" hidden="1" customWidth="1"/>
    <col min="12" max="12" width="13.5703125" style="768" hidden="1" customWidth="1"/>
    <col min="13" max="13" width="8.42578125" style="768" hidden="1" customWidth="1"/>
    <col min="14" max="14" width="7.85546875" style="768" hidden="1" customWidth="1"/>
    <col min="15" max="15" width="8" style="768" hidden="1" customWidth="1"/>
    <col min="16" max="16" width="7.28515625" style="768" hidden="1" customWidth="1"/>
    <col min="17" max="17" width="7.85546875" style="768" hidden="1" customWidth="1"/>
    <col min="18" max="18" width="7.140625" style="768" hidden="1" customWidth="1"/>
    <col min="19" max="19" width="6.7109375" style="768" hidden="1" customWidth="1"/>
    <col min="20" max="21" width="5.7109375" style="768" hidden="1" customWidth="1"/>
    <col min="22" max="29" width="9.140625" style="768" hidden="1" customWidth="1"/>
    <col min="30" max="30" width="12" style="768" hidden="1" customWidth="1"/>
    <col min="31" max="31" width="13.140625" style="768" hidden="1" customWidth="1"/>
    <col min="32" max="35" width="9.140625" style="768" hidden="1" customWidth="1"/>
    <col min="36" max="37" width="0" style="768" hidden="1" customWidth="1"/>
    <col min="38" max="16384" width="9.140625" style="768"/>
  </cols>
  <sheetData>
    <row r="1" spans="1:33" ht="15.75" thickBot="1" x14ac:dyDescent="0.3">
      <c r="A1" s="764">
        <v>1</v>
      </c>
      <c r="B1" s="764">
        <v>2</v>
      </c>
      <c r="C1" s="764">
        <v>3</v>
      </c>
      <c r="D1" s="764">
        <v>4</v>
      </c>
      <c r="E1" s="764">
        <v>5</v>
      </c>
      <c r="F1" s="764">
        <v>6</v>
      </c>
      <c r="G1" s="764">
        <v>7</v>
      </c>
      <c r="H1" s="764">
        <v>8</v>
      </c>
      <c r="I1" s="764">
        <v>9</v>
      </c>
      <c r="J1" s="764">
        <v>10</v>
      </c>
      <c r="K1" s="765">
        <v>11</v>
      </c>
      <c r="L1" s="766">
        <v>12</v>
      </c>
      <c r="M1" s="766">
        <v>13</v>
      </c>
      <c r="N1" s="767">
        <v>14</v>
      </c>
    </row>
    <row r="2" spans="1:33" ht="36" customHeight="1" thickBot="1" x14ac:dyDescent="0.3">
      <c r="D2" s="770" t="s">
        <v>964</v>
      </c>
      <c r="E2" s="771"/>
      <c r="F2" s="772"/>
      <c r="G2" s="773"/>
      <c r="H2" s="1242" t="str">
        <f>IF('Manuell filtrering og justering'!H2='Manuell filtrering og justering'!I2,"Bespoke","")</f>
        <v/>
      </c>
      <c r="K2" s="774"/>
      <c r="L2" s="775"/>
      <c r="M2" s="776"/>
      <c r="N2" s="777"/>
      <c r="O2" s="396" t="s">
        <v>1269</v>
      </c>
      <c r="P2" s="1264"/>
      <c r="Q2" s="1257"/>
      <c r="V2" s="230" t="s">
        <v>1270</v>
      </c>
    </row>
    <row r="3" spans="1:33" ht="15.75" thickBot="1" x14ac:dyDescent="0.3">
      <c r="D3" s="769"/>
      <c r="E3" s="769"/>
      <c r="F3" s="769"/>
      <c r="G3" s="769"/>
      <c r="H3" s="769"/>
      <c r="I3" s="769"/>
      <c r="J3" s="769"/>
      <c r="K3" s="774"/>
      <c r="L3" s="775"/>
      <c r="M3" s="776"/>
      <c r="N3" s="777"/>
    </row>
    <row r="4" spans="1:33" ht="15.75" thickBot="1" x14ac:dyDescent="0.3">
      <c r="D4" s="778" t="s">
        <v>23</v>
      </c>
      <c r="E4" s="779"/>
      <c r="F4" s="780" t="s">
        <v>89</v>
      </c>
      <c r="G4" s="781"/>
      <c r="H4" s="782" t="str">
        <f>BP_BREEAMRating</f>
        <v>Unclassified</v>
      </c>
      <c r="K4" s="783"/>
      <c r="L4" s="776"/>
      <c r="M4" s="776"/>
      <c r="N4" s="777"/>
      <c r="S4" s="396" t="s">
        <v>1265</v>
      </c>
      <c r="T4" s="1257" t="str">
        <f>IF(OR(P9=R9,P9=S9),AIS_Yes,AIS_No)</f>
        <v>No</v>
      </c>
    </row>
    <row r="5" spans="1:33" x14ac:dyDescent="0.25">
      <c r="D5" s="784" t="str">
        <f>IF(ISBLANK(ADBN),"",ADBN)</f>
        <v/>
      </c>
      <c r="E5" s="779"/>
      <c r="F5" s="785" t="s">
        <v>90</v>
      </c>
      <c r="G5" s="786"/>
      <c r="H5" s="787">
        <f>Score_Initial</f>
        <v>0</v>
      </c>
      <c r="K5" s="783"/>
      <c r="L5" s="775"/>
      <c r="M5" s="776"/>
      <c r="N5" s="777"/>
    </row>
    <row r="6" spans="1:33" ht="15.75" thickBot="1" x14ac:dyDescent="0.3">
      <c r="D6" s="788" t="str">
        <f>"Scoring and Reporting tool: "&amp;TVC_current_version</f>
        <v>Scoring and Reporting tool: 1.05</v>
      </c>
      <c r="E6" s="779"/>
      <c r="F6" s="789" t="s">
        <v>84</v>
      </c>
      <c r="G6" s="790"/>
      <c r="H6" s="791" t="str">
        <f>BP_MinStandards</f>
        <v>Unclassified</v>
      </c>
      <c r="K6" s="783"/>
      <c r="L6" s="775"/>
      <c r="M6" s="776"/>
      <c r="N6" s="777"/>
      <c r="O6" s="1250" t="s">
        <v>355</v>
      </c>
    </row>
    <row r="7" spans="1:33" ht="15.75" thickBot="1" x14ac:dyDescent="0.3">
      <c r="A7" s="792"/>
      <c r="B7" s="793"/>
      <c r="C7" s="793"/>
      <c r="D7" s="793"/>
      <c r="E7" s="794"/>
      <c r="F7" s="795"/>
      <c r="G7" s="794"/>
      <c r="H7" s="796" t="str">
        <f>IF(OR(Poeng!AT112=1,Poeng!AW112=1,Poeng!AZ112=1),Poeng!AL117,"")</f>
        <v/>
      </c>
      <c r="I7" s="797"/>
      <c r="J7" s="797"/>
      <c r="K7" s="783"/>
      <c r="L7" s="775"/>
      <c r="M7" s="776"/>
      <c r="N7" s="776"/>
      <c r="O7" s="1252" t="s">
        <v>1263</v>
      </c>
      <c r="P7" s="1253"/>
      <c r="Q7" s="1255"/>
      <c r="R7" s="1252" t="s">
        <v>1264</v>
      </c>
      <c r="S7" s="1253"/>
      <c r="T7" s="1254"/>
      <c r="V7" s="1261" t="s">
        <v>1268</v>
      </c>
      <c r="W7" s="1262"/>
      <c r="X7" s="1263"/>
      <c r="Y7" s="1269" t="s">
        <v>1267</v>
      </c>
      <c r="Z7" s="1270"/>
      <c r="AA7" s="1270"/>
      <c r="AB7" s="1270"/>
      <c r="AC7" s="1271"/>
    </row>
    <row r="8" spans="1:33" ht="15.75" thickBot="1" x14ac:dyDescent="0.3">
      <c r="A8" s="798"/>
      <c r="B8" s="799"/>
      <c r="C8" s="799"/>
      <c r="E8" s="799"/>
      <c r="F8" s="799"/>
      <c r="G8" s="799"/>
      <c r="H8" s="799"/>
      <c r="K8" s="278" t="s">
        <v>1258</v>
      </c>
      <c r="L8" s="1246"/>
      <c r="M8" s="1246"/>
      <c r="N8" s="1246"/>
      <c r="O8" s="290" t="s">
        <v>1260</v>
      </c>
      <c r="P8" s="291" t="s">
        <v>1261</v>
      </c>
      <c r="Q8" s="1256" t="s">
        <v>1262</v>
      </c>
      <c r="R8" s="290" t="s">
        <v>1260</v>
      </c>
      <c r="S8" s="291" t="s">
        <v>1261</v>
      </c>
      <c r="T8" s="294" t="s">
        <v>1262</v>
      </c>
      <c r="U8" s="1249" t="s">
        <v>1266</v>
      </c>
      <c r="V8" s="278"/>
      <c r="W8" s="1246"/>
      <c r="X8" s="1246"/>
      <c r="Y8" s="278"/>
      <c r="Z8" s="1246"/>
      <c r="AA8" s="1246"/>
      <c r="AB8" s="1246"/>
      <c r="AC8" s="282"/>
      <c r="AD8" s="230" t="s">
        <v>1271</v>
      </c>
      <c r="AE8" s="230" t="s">
        <v>1272</v>
      </c>
      <c r="AG8" s="230" t="s">
        <v>1274</v>
      </c>
    </row>
    <row r="9" spans="1:33" x14ac:dyDescent="0.25">
      <c r="A9" s="1028" t="s">
        <v>236</v>
      </c>
      <c r="B9" s="1029"/>
      <c r="C9" s="1029"/>
      <c r="D9" s="1030"/>
      <c r="E9" s="1029"/>
      <c r="F9" s="1029"/>
      <c r="G9" s="1029"/>
      <c r="H9" s="1029"/>
      <c r="I9" s="1029"/>
      <c r="K9" s="783"/>
      <c r="L9" s="814"/>
      <c r="M9" s="776"/>
      <c r="N9" s="1247"/>
      <c r="O9" s="1251" t="s">
        <v>1259</v>
      </c>
      <c r="P9" s="814" t="str">
        <f>ADPT</f>
        <v>New Construction (fully fitted)</v>
      </c>
      <c r="Q9" s="814"/>
      <c r="R9" s="814" t="str">
        <f>ADPT02</f>
        <v xml:space="preserve">New Construction (shell only) </v>
      </c>
      <c r="S9" s="814" t="str">
        <f>ADPT04</f>
        <v>Major Refurbishment (shell only)</v>
      </c>
    </row>
    <row r="10" spans="1:33" ht="18.75" x14ac:dyDescent="0.3">
      <c r="A10" s="1031">
        <v>1</v>
      </c>
      <c r="B10" s="1032" t="s">
        <v>13</v>
      </c>
      <c r="C10" s="1033"/>
      <c r="D10" s="1033"/>
      <c r="E10" s="1033"/>
      <c r="F10" s="1033"/>
      <c r="G10" s="1033"/>
      <c r="H10" s="1034"/>
      <c r="I10" s="1029"/>
      <c r="K10" s="783"/>
      <c r="L10" s="800"/>
      <c r="M10" s="776"/>
      <c r="N10" s="1248"/>
    </row>
    <row r="11" spans="1:33" ht="15.75" thickBot="1" x14ac:dyDescent="0.3">
      <c r="A11" s="1035">
        <v>2</v>
      </c>
      <c r="B11" s="1035" t="s">
        <v>13</v>
      </c>
      <c r="C11" s="1036"/>
      <c r="D11" s="1029"/>
      <c r="E11" s="1029"/>
      <c r="F11" s="1029"/>
      <c r="G11" s="1029"/>
      <c r="H11" s="1029"/>
      <c r="I11" s="1029"/>
      <c r="K11" s="783"/>
      <c r="L11" s="800"/>
      <c r="M11" s="776"/>
      <c r="N11" s="1248"/>
    </row>
    <row r="12" spans="1:33" ht="15.75" thickBot="1" x14ac:dyDescent="0.3">
      <c r="A12" s="1037">
        <v>3</v>
      </c>
      <c r="B12" s="1037" t="s">
        <v>13</v>
      </c>
      <c r="C12" s="802" t="s">
        <v>97</v>
      </c>
      <c r="D12" s="1103" t="s">
        <v>880</v>
      </c>
      <c r="E12" s="1104"/>
      <c r="F12" s="1104"/>
      <c r="G12" s="1105"/>
      <c r="H12" s="1106"/>
      <c r="I12" s="1029"/>
      <c r="K12" s="783"/>
      <c r="L12" s="804" t="str">
        <f>C12</f>
        <v>Man 01</v>
      </c>
      <c r="M12" s="776"/>
      <c r="N12" s="1248"/>
      <c r="O12" s="49"/>
      <c r="P12" s="49"/>
      <c r="Q12" s="49"/>
    </row>
    <row r="13" spans="1:33" x14ac:dyDescent="0.25">
      <c r="A13" s="1035">
        <v>4</v>
      </c>
      <c r="B13" s="1035" t="s">
        <v>13</v>
      </c>
      <c r="C13" s="1038" t="s">
        <v>97</v>
      </c>
      <c r="D13" s="1107" t="s">
        <v>17</v>
      </c>
      <c r="E13" s="1108">
        <f>Man01_credits</f>
        <v>4</v>
      </c>
      <c r="F13" s="1109"/>
      <c r="G13" s="1110" t="s">
        <v>85</v>
      </c>
      <c r="H13" s="1111">
        <f>Man01_38</f>
        <v>2.4E-2</v>
      </c>
      <c r="I13" s="1029"/>
      <c r="K13" s="783"/>
      <c r="L13" s="800"/>
      <c r="M13" s="776"/>
      <c r="N13" s="1248"/>
      <c r="O13" s="49"/>
      <c r="P13" s="49"/>
      <c r="Q13" s="49"/>
    </row>
    <row r="14" spans="1:33" x14ac:dyDescent="0.25">
      <c r="A14" s="1035">
        <v>5</v>
      </c>
      <c r="B14" s="1035" t="s">
        <v>13</v>
      </c>
      <c r="C14" s="1038" t="s">
        <v>97</v>
      </c>
      <c r="D14" s="1112" t="s">
        <v>349</v>
      </c>
      <c r="E14" s="1113">
        <v>0</v>
      </c>
      <c r="F14" s="1114"/>
      <c r="G14" s="1115" t="s">
        <v>350</v>
      </c>
      <c r="H14" s="1116" t="s">
        <v>15</v>
      </c>
      <c r="I14" s="1029"/>
      <c r="K14" s="783"/>
      <c r="L14" s="800"/>
      <c r="M14" s="776"/>
      <c r="N14" s="801"/>
      <c r="O14" s="49"/>
      <c r="P14" s="49"/>
      <c r="Q14" s="49"/>
    </row>
    <row r="15" spans="1:33" x14ac:dyDescent="0.25">
      <c r="A15" s="1035">
        <v>6</v>
      </c>
      <c r="B15" s="1035" t="s">
        <v>13</v>
      </c>
      <c r="C15" s="1038" t="s">
        <v>97</v>
      </c>
      <c r="I15" s="1029"/>
      <c r="K15" s="783"/>
      <c r="L15" s="800"/>
      <c r="M15" s="776"/>
      <c r="N15" s="801"/>
      <c r="O15" s="49"/>
      <c r="P15" s="49"/>
      <c r="Q15" s="49"/>
    </row>
    <row r="16" spans="1:33" ht="15.75" thickBot="1" x14ac:dyDescent="0.3">
      <c r="A16" s="1035">
        <v>7</v>
      </c>
      <c r="B16" s="1035" t="s">
        <v>13</v>
      </c>
      <c r="C16" s="1038" t="s">
        <v>97</v>
      </c>
      <c r="D16" s="1117" t="s">
        <v>351</v>
      </c>
      <c r="E16" s="1118" t="s">
        <v>352</v>
      </c>
      <c r="F16" s="1118" t="s">
        <v>353</v>
      </c>
      <c r="G16" s="1118" t="s">
        <v>354</v>
      </c>
      <c r="H16" s="1118" t="s">
        <v>355</v>
      </c>
      <c r="I16" s="1029"/>
      <c r="K16" s="783"/>
      <c r="L16" s="800"/>
      <c r="M16" s="776"/>
      <c r="N16" s="801"/>
      <c r="O16" s="49"/>
      <c r="P16" s="49"/>
      <c r="Q16" s="49"/>
      <c r="R16" s="49"/>
      <c r="S16" s="49"/>
      <c r="T16" s="49"/>
      <c r="U16" s="49"/>
      <c r="V16" s="49"/>
      <c r="W16" s="49"/>
      <c r="X16" s="49"/>
      <c r="Y16" s="49"/>
      <c r="Z16" s="49"/>
      <c r="AA16" s="49"/>
      <c r="AB16" s="49"/>
      <c r="AC16" s="49"/>
      <c r="AD16" s="49"/>
      <c r="AE16" s="49"/>
    </row>
    <row r="17" spans="1:31" x14ac:dyDescent="0.25">
      <c r="A17" s="1035">
        <v>8</v>
      </c>
      <c r="B17" s="1035" t="s">
        <v>13</v>
      </c>
      <c r="C17" s="1038" t="s">
        <v>97</v>
      </c>
      <c r="D17" s="1119" t="s">
        <v>754</v>
      </c>
      <c r="E17" s="1093" t="s">
        <v>360</v>
      </c>
      <c r="F17" s="1120">
        <v>1</v>
      </c>
      <c r="G17" s="1120">
        <f>IF(E17=AIS_Yes,F17,0)</f>
        <v>0</v>
      </c>
      <c r="H17" s="1317" t="s">
        <v>16</v>
      </c>
      <c r="I17" s="1029"/>
      <c r="K17" s="783"/>
      <c r="L17" s="800"/>
      <c r="M17" s="776"/>
      <c r="N17" s="801"/>
      <c r="O17" s="102" t="s">
        <v>1273</v>
      </c>
      <c r="P17" s="49"/>
      <c r="Q17" s="49"/>
      <c r="R17" s="49"/>
      <c r="S17" s="49"/>
      <c r="T17" s="49"/>
      <c r="U17" s="49" t="str">
        <f>$T$4</f>
        <v>No</v>
      </c>
      <c r="V17" s="49"/>
      <c r="W17" s="49"/>
      <c r="X17" s="49"/>
      <c r="Y17" s="49"/>
      <c r="Z17" s="49"/>
      <c r="AA17" s="49"/>
      <c r="AB17" s="49"/>
      <c r="AC17" s="49"/>
      <c r="AD17" s="49"/>
      <c r="AE17" s="49"/>
    </row>
    <row r="18" spans="1:31" x14ac:dyDescent="0.25">
      <c r="A18" s="1035">
        <v>9</v>
      </c>
      <c r="B18" s="1035" t="s">
        <v>13</v>
      </c>
      <c r="C18" s="1038" t="s">
        <v>97</v>
      </c>
      <c r="D18" s="1121" t="s">
        <v>755</v>
      </c>
      <c r="E18" s="1091" t="s">
        <v>360</v>
      </c>
      <c r="F18" s="1122">
        <v>1</v>
      </c>
      <c r="G18" s="1122">
        <f>IF(E18=AIS_Yes,F18,0)</f>
        <v>0</v>
      </c>
      <c r="H18" s="1318" t="s">
        <v>16</v>
      </c>
      <c r="I18" s="1029"/>
      <c r="K18" s="783"/>
      <c r="L18" s="800"/>
      <c r="M18" s="776"/>
      <c r="N18" s="801"/>
      <c r="O18" s="102" t="s">
        <v>1273</v>
      </c>
      <c r="P18" s="49"/>
      <c r="Q18" s="49"/>
      <c r="R18" s="49"/>
      <c r="S18" s="49"/>
      <c r="T18" s="49"/>
      <c r="U18" s="49" t="str">
        <f>$T$4</f>
        <v>No</v>
      </c>
      <c r="V18" s="49"/>
      <c r="W18" s="49"/>
      <c r="X18" s="49"/>
      <c r="Y18" s="49"/>
      <c r="Z18" s="49"/>
      <c r="AA18" s="49"/>
      <c r="AB18" s="49"/>
      <c r="AC18" s="49"/>
      <c r="AD18" s="49"/>
      <c r="AE18" s="49"/>
    </row>
    <row r="19" spans="1:31" x14ac:dyDescent="0.25">
      <c r="A19" s="1035">
        <v>10</v>
      </c>
      <c r="B19" s="1035" t="s">
        <v>13</v>
      </c>
      <c r="C19" s="1038" t="s">
        <v>97</v>
      </c>
      <c r="D19" s="1121" t="s">
        <v>763</v>
      </c>
      <c r="E19" s="1091" t="s">
        <v>360</v>
      </c>
      <c r="F19" s="1122">
        <v>1</v>
      </c>
      <c r="G19" s="1122">
        <f>IF(E19=AIS_Yes,F19,0)</f>
        <v>0</v>
      </c>
      <c r="H19" s="1318" t="s">
        <v>16</v>
      </c>
      <c r="I19" s="1029"/>
      <c r="K19" s="783"/>
      <c r="L19" s="800"/>
      <c r="M19" s="776"/>
      <c r="N19" s="801"/>
      <c r="O19" s="102" t="s">
        <v>1273</v>
      </c>
      <c r="P19" s="49"/>
      <c r="Q19" s="49"/>
      <c r="R19" s="49"/>
      <c r="S19" s="49"/>
      <c r="T19" s="49"/>
      <c r="U19" s="49" t="str">
        <f>$T$4</f>
        <v>No</v>
      </c>
      <c r="V19" s="49"/>
      <c r="W19" s="49"/>
      <c r="X19" s="49"/>
      <c r="Y19" s="49"/>
      <c r="Z19" s="49"/>
      <c r="AA19" s="49"/>
      <c r="AB19" s="49"/>
      <c r="AC19" s="49"/>
      <c r="AD19" s="49"/>
      <c r="AE19" s="49"/>
    </row>
    <row r="20" spans="1:31" ht="15.75" thickBot="1" x14ac:dyDescent="0.3">
      <c r="A20" s="1035">
        <v>11</v>
      </c>
      <c r="B20" s="1035" t="s">
        <v>13</v>
      </c>
      <c r="C20" s="1038" t="s">
        <v>97</v>
      </c>
      <c r="D20" s="1123" t="s">
        <v>756</v>
      </c>
      <c r="E20" s="1100" t="s">
        <v>360</v>
      </c>
      <c r="F20" s="1124">
        <v>1</v>
      </c>
      <c r="G20" s="1124">
        <f>IF(E20=AIS_Yes,F20,0)</f>
        <v>0</v>
      </c>
      <c r="H20" s="1319" t="s">
        <v>16</v>
      </c>
      <c r="I20" s="1029"/>
      <c r="K20" s="783"/>
      <c r="L20" s="800"/>
      <c r="M20" s="776"/>
      <c r="N20" s="801"/>
      <c r="O20" s="102" t="s">
        <v>1273</v>
      </c>
      <c r="P20" s="49"/>
      <c r="Q20" s="49"/>
      <c r="R20" s="49"/>
      <c r="S20" s="49"/>
      <c r="T20" s="49"/>
      <c r="U20" s="49" t="str">
        <f>$T$4</f>
        <v>No</v>
      </c>
      <c r="V20" s="49"/>
      <c r="W20" s="49"/>
      <c r="X20" s="49"/>
      <c r="Y20" s="49"/>
      <c r="Z20" s="49"/>
      <c r="AA20" s="49"/>
      <c r="AB20" s="49"/>
      <c r="AC20" s="49"/>
      <c r="AD20" s="49"/>
      <c r="AE20" s="49"/>
    </row>
    <row r="21" spans="1:31" x14ac:dyDescent="0.25">
      <c r="A21" s="1035">
        <v>12</v>
      </c>
      <c r="B21" s="1035" t="s">
        <v>13</v>
      </c>
      <c r="C21" s="1038" t="s">
        <v>97</v>
      </c>
      <c r="E21" s="1126"/>
      <c r="I21" s="1029"/>
      <c r="K21" s="783"/>
      <c r="L21" s="800"/>
      <c r="M21" s="776"/>
      <c r="N21" s="801"/>
      <c r="O21" s="805"/>
      <c r="P21" s="805"/>
      <c r="Q21" s="805"/>
      <c r="R21" s="805"/>
      <c r="S21" s="805"/>
      <c r="T21" s="805"/>
      <c r="U21" s="805"/>
      <c r="V21" s="805"/>
      <c r="W21" s="805"/>
      <c r="X21" s="805"/>
    </row>
    <row r="22" spans="1:31" x14ac:dyDescent="0.25">
      <c r="A22" s="1035">
        <v>13</v>
      </c>
      <c r="B22" s="1035" t="s">
        <v>13</v>
      </c>
      <c r="C22" s="1038" t="s">
        <v>97</v>
      </c>
      <c r="D22" s="1127" t="s">
        <v>356</v>
      </c>
      <c r="E22" s="1128">
        <f>IF(SUM(G17:G20)&gt;E13,E13,SUM(G17:G20))</f>
        <v>0</v>
      </c>
      <c r="I22" s="1029"/>
      <c r="K22" s="783"/>
      <c r="L22" s="800"/>
      <c r="M22" s="776"/>
      <c r="N22" s="801"/>
      <c r="O22" s="805"/>
      <c r="P22" s="805"/>
      <c r="Q22" s="805"/>
      <c r="R22" s="805"/>
      <c r="S22" s="805"/>
      <c r="T22" s="805"/>
      <c r="U22" s="805"/>
      <c r="V22" s="805"/>
      <c r="W22" s="805"/>
      <c r="X22" s="805"/>
    </row>
    <row r="23" spans="1:31" x14ac:dyDescent="0.25">
      <c r="A23" s="1035">
        <v>14</v>
      </c>
      <c r="B23" s="1035" t="s">
        <v>13</v>
      </c>
      <c r="C23" s="1038" t="s">
        <v>97</v>
      </c>
      <c r="D23" s="1129" t="s">
        <v>86</v>
      </c>
      <c r="E23" s="1130">
        <f>Man01_39</f>
        <v>0</v>
      </c>
      <c r="I23" s="1029"/>
      <c r="K23" s="783"/>
      <c r="L23" s="800"/>
      <c r="M23" s="776"/>
      <c r="N23" s="801"/>
      <c r="O23" s="805"/>
      <c r="P23" s="805"/>
      <c r="Q23" s="805"/>
      <c r="R23" s="805"/>
      <c r="S23" s="805"/>
      <c r="T23" s="805"/>
      <c r="U23" s="805"/>
      <c r="V23" s="805"/>
      <c r="W23" s="805"/>
      <c r="X23" s="805"/>
    </row>
    <row r="24" spans="1:31" x14ac:dyDescent="0.25">
      <c r="A24" s="1035">
        <v>15</v>
      </c>
      <c r="B24" s="1035" t="s">
        <v>13</v>
      </c>
      <c r="C24" s="1038" t="s">
        <v>97</v>
      </c>
      <c r="D24" s="1131" t="s">
        <v>357</v>
      </c>
      <c r="E24" s="1128" t="s">
        <v>16</v>
      </c>
      <c r="I24" s="1029"/>
      <c r="J24" s="807"/>
      <c r="K24" s="783"/>
      <c r="L24" s="800"/>
      <c r="M24" s="776"/>
      <c r="N24" s="801"/>
      <c r="O24" s="805"/>
      <c r="P24" s="805"/>
      <c r="Q24" s="805"/>
      <c r="R24" s="805"/>
      <c r="S24" s="805"/>
      <c r="T24" s="805"/>
      <c r="U24" s="805"/>
      <c r="V24" s="805"/>
      <c r="W24" s="805"/>
      <c r="X24" s="805"/>
    </row>
    <row r="25" spans="1:31" x14ac:dyDescent="0.25">
      <c r="A25" s="1035">
        <v>16</v>
      </c>
      <c r="B25" s="1035" t="s">
        <v>13</v>
      </c>
      <c r="C25" s="1038" t="s">
        <v>97</v>
      </c>
      <c r="D25" s="1132" t="s">
        <v>55</v>
      </c>
      <c r="E25" s="1133" t="s">
        <v>16</v>
      </c>
      <c r="F25" s="1134"/>
      <c r="G25" s="1135"/>
      <c r="I25" s="1029"/>
      <c r="J25" s="807"/>
      <c r="K25" s="783"/>
      <c r="L25" s="800"/>
      <c r="M25" s="776"/>
      <c r="N25" s="801"/>
      <c r="O25" s="805"/>
      <c r="P25" s="805"/>
      <c r="Q25" s="805"/>
      <c r="R25" s="805"/>
      <c r="S25" s="805"/>
      <c r="T25" s="805"/>
      <c r="U25" s="805"/>
      <c r="V25" s="805"/>
      <c r="W25" s="805"/>
      <c r="X25" s="805"/>
    </row>
    <row r="26" spans="1:31" x14ac:dyDescent="0.25">
      <c r="A26" s="1035">
        <v>17</v>
      </c>
      <c r="B26" s="1035" t="s">
        <v>13</v>
      </c>
      <c r="C26" s="1038" t="s">
        <v>97</v>
      </c>
      <c r="I26" s="1029"/>
      <c r="J26" s="807"/>
      <c r="K26" s="783"/>
      <c r="L26" s="800"/>
      <c r="M26" s="776"/>
      <c r="N26" s="801"/>
      <c r="O26" s="805"/>
      <c r="P26" s="805"/>
      <c r="Q26" s="805"/>
      <c r="R26" s="805"/>
      <c r="S26" s="805"/>
      <c r="T26" s="805"/>
      <c r="U26" s="805"/>
      <c r="V26" s="805"/>
      <c r="W26" s="805"/>
      <c r="X26" s="805"/>
    </row>
    <row r="27" spans="1:31" x14ac:dyDescent="0.25">
      <c r="A27" s="1035">
        <v>18</v>
      </c>
      <c r="B27" s="1035" t="s">
        <v>13</v>
      </c>
      <c r="C27" s="1038" t="s">
        <v>97</v>
      </c>
      <c r="D27" s="1136" t="s">
        <v>359</v>
      </c>
      <c r="E27" s="1136" t="s">
        <v>977</v>
      </c>
      <c r="F27" s="1136" t="str">
        <f>HLOOKUP(C27,'Assessment References'!$H$512:$BG$513,2,FALSE)</f>
        <v xml:space="preserve">1, </v>
      </c>
      <c r="G27" s="1137"/>
      <c r="H27" s="1138"/>
      <c r="I27" s="1029"/>
      <c r="J27" s="807"/>
      <c r="K27" s="783"/>
      <c r="L27" s="800"/>
      <c r="M27" s="776"/>
      <c r="N27" s="801"/>
      <c r="O27" s="805"/>
      <c r="P27" s="805"/>
      <c r="Q27" s="805"/>
      <c r="R27" s="805"/>
      <c r="S27" s="805"/>
      <c r="T27" s="805"/>
      <c r="U27" s="805"/>
      <c r="V27" s="805"/>
      <c r="W27" s="805"/>
      <c r="X27" s="805"/>
    </row>
    <row r="28" spans="1:31" x14ac:dyDescent="0.25">
      <c r="A28" s="1035">
        <v>19</v>
      </c>
      <c r="B28" s="1035" t="s">
        <v>13</v>
      </c>
      <c r="C28" s="1038" t="s">
        <v>97</v>
      </c>
      <c r="D28" s="1351"/>
      <c r="E28" s="1352"/>
      <c r="F28" s="1352"/>
      <c r="G28" s="1352"/>
      <c r="H28" s="1353"/>
      <c r="I28" s="1029"/>
      <c r="J28" s="807"/>
      <c r="K28" s="783"/>
      <c r="L28" s="800"/>
      <c r="M28" s="776"/>
      <c r="N28" s="801"/>
      <c r="O28" s="805"/>
      <c r="P28" s="805"/>
      <c r="Q28" s="805"/>
      <c r="R28" s="805"/>
      <c r="S28" s="805"/>
      <c r="T28" s="805"/>
      <c r="U28" s="805"/>
      <c r="V28" s="805"/>
      <c r="W28" s="805"/>
      <c r="X28" s="805"/>
    </row>
    <row r="29" spans="1:31" x14ac:dyDescent="0.25">
      <c r="A29" s="1035">
        <v>20</v>
      </c>
      <c r="B29" s="1035" t="s">
        <v>13</v>
      </c>
      <c r="C29" s="1038" t="s">
        <v>97</v>
      </c>
      <c r="D29" s="1354"/>
      <c r="E29" s="1355"/>
      <c r="F29" s="1355"/>
      <c r="G29" s="1355"/>
      <c r="H29" s="1356"/>
      <c r="I29" s="1029"/>
      <c r="J29" s="807"/>
      <c r="K29" s="783"/>
      <c r="L29" s="800"/>
      <c r="M29" s="776"/>
      <c r="N29" s="801"/>
      <c r="O29" s="805"/>
      <c r="P29" s="805"/>
      <c r="Q29" s="805"/>
      <c r="R29" s="805"/>
      <c r="S29" s="805"/>
      <c r="T29" s="805"/>
      <c r="U29" s="805"/>
      <c r="V29" s="805"/>
      <c r="W29" s="805"/>
      <c r="X29" s="805"/>
    </row>
    <row r="30" spans="1:31" x14ac:dyDescent="0.25">
      <c r="A30" s="1035">
        <v>21</v>
      </c>
      <c r="B30" s="1035" t="s">
        <v>13</v>
      </c>
      <c r="C30" s="1038" t="s">
        <v>97</v>
      </c>
      <c r="D30" s="1354"/>
      <c r="E30" s="1355"/>
      <c r="F30" s="1355"/>
      <c r="G30" s="1355"/>
      <c r="H30" s="1356"/>
      <c r="I30" s="1029"/>
      <c r="J30" s="807"/>
      <c r="K30" s="783"/>
      <c r="L30" s="800"/>
      <c r="M30" s="776"/>
      <c r="N30" s="801"/>
      <c r="O30" s="805"/>
      <c r="P30" s="805"/>
      <c r="Q30" s="805"/>
      <c r="R30" s="805"/>
      <c r="S30" s="805"/>
      <c r="T30" s="805"/>
      <c r="U30" s="805"/>
      <c r="V30" s="805"/>
      <c r="W30" s="805"/>
      <c r="X30" s="805"/>
    </row>
    <row r="31" spans="1:31" x14ac:dyDescent="0.25">
      <c r="A31" s="1035">
        <v>22</v>
      </c>
      <c r="B31" s="1035" t="s">
        <v>13</v>
      </c>
      <c r="C31" s="1038" t="s">
        <v>97</v>
      </c>
      <c r="D31" s="1357"/>
      <c r="E31" s="1358"/>
      <c r="F31" s="1358"/>
      <c r="G31" s="1358"/>
      <c r="H31" s="1359"/>
      <c r="I31" s="1029"/>
      <c r="J31" s="807"/>
      <c r="K31" s="783"/>
      <c r="L31" s="800"/>
      <c r="M31" s="776"/>
      <c r="N31" s="801"/>
      <c r="O31" s="805"/>
      <c r="P31" s="805"/>
      <c r="Q31" s="805"/>
      <c r="R31" s="805"/>
      <c r="S31" s="805"/>
      <c r="T31" s="805"/>
      <c r="U31" s="805"/>
      <c r="V31" s="805"/>
      <c r="W31" s="805"/>
      <c r="X31" s="805"/>
    </row>
    <row r="32" spans="1:31" x14ac:dyDescent="0.25">
      <c r="A32" s="1035">
        <v>23</v>
      </c>
      <c r="B32" s="1035" t="s">
        <v>13</v>
      </c>
      <c r="C32" s="1038" t="s">
        <v>97</v>
      </c>
      <c r="D32" s="1357"/>
      <c r="E32" s="1358"/>
      <c r="F32" s="1358"/>
      <c r="G32" s="1358"/>
      <c r="H32" s="1359"/>
      <c r="I32" s="1029"/>
      <c r="J32" s="807"/>
      <c r="K32" s="783"/>
      <c r="L32" s="800"/>
      <c r="M32" s="776"/>
      <c r="N32" s="801"/>
      <c r="O32" s="805"/>
      <c r="P32" s="805"/>
      <c r="Q32" s="805"/>
      <c r="R32" s="805"/>
      <c r="S32" s="805"/>
      <c r="T32" s="805"/>
      <c r="U32" s="805"/>
      <c r="V32" s="805"/>
      <c r="W32" s="805"/>
      <c r="X32" s="805"/>
    </row>
    <row r="33" spans="1:24" x14ac:dyDescent="0.25">
      <c r="A33" s="1035">
        <v>24</v>
      </c>
      <c r="B33" s="1035" t="s">
        <v>13</v>
      </c>
      <c r="C33" s="1038" t="s">
        <v>97</v>
      </c>
      <c r="D33" s="1360"/>
      <c r="E33" s="1361"/>
      <c r="F33" s="1361"/>
      <c r="G33" s="1361"/>
      <c r="H33" s="1362"/>
      <c r="I33" s="1029"/>
      <c r="J33" s="807"/>
      <c r="K33" s="783"/>
      <c r="L33" s="800"/>
      <c r="M33" s="776"/>
      <c r="N33" s="801"/>
      <c r="O33" s="805"/>
      <c r="P33" s="805"/>
      <c r="Q33" s="805"/>
      <c r="R33" s="805"/>
      <c r="S33" s="805"/>
      <c r="T33" s="805"/>
      <c r="U33" s="805"/>
      <c r="V33" s="805"/>
      <c r="W33" s="805"/>
      <c r="X33" s="805"/>
    </row>
    <row r="34" spans="1:24" ht="15.75" thickBot="1" x14ac:dyDescent="0.3">
      <c r="A34" s="1035">
        <v>25</v>
      </c>
      <c r="B34" s="1035" t="s">
        <v>13</v>
      </c>
      <c r="C34" s="1038" t="s">
        <v>97</v>
      </c>
      <c r="I34" s="1029"/>
      <c r="J34" s="807"/>
      <c r="K34" s="783"/>
      <c r="L34" s="800"/>
      <c r="M34" s="776"/>
      <c r="N34" s="801"/>
      <c r="O34" s="805"/>
      <c r="P34" s="805"/>
      <c r="Q34" s="805"/>
      <c r="R34" s="805"/>
      <c r="S34" s="805"/>
      <c r="T34" s="805"/>
      <c r="U34" s="805"/>
      <c r="V34" s="805"/>
      <c r="W34" s="805"/>
      <c r="X34" s="805"/>
    </row>
    <row r="35" spans="1:24" ht="15.75" thickBot="1" x14ac:dyDescent="0.3">
      <c r="A35" s="1039">
        <v>26</v>
      </c>
      <c r="B35" s="1039" t="s">
        <v>13</v>
      </c>
      <c r="C35" s="802" t="s">
        <v>98</v>
      </c>
      <c r="D35" s="1103" t="s">
        <v>881</v>
      </c>
      <c r="E35" s="1104"/>
      <c r="F35" s="1104"/>
      <c r="G35" s="1105"/>
      <c r="H35" s="1106"/>
      <c r="I35" s="1029"/>
      <c r="J35" s="807"/>
      <c r="K35" s="783"/>
      <c r="L35" s="804" t="str">
        <f>C35</f>
        <v>Man 02</v>
      </c>
      <c r="M35" s="776"/>
      <c r="N35" s="801"/>
      <c r="O35" s="805"/>
      <c r="P35" s="805"/>
      <c r="Q35" s="805"/>
      <c r="R35" s="805"/>
      <c r="S35" s="805"/>
      <c r="T35" s="805"/>
      <c r="U35" s="805"/>
      <c r="V35" s="805"/>
      <c r="W35" s="805"/>
      <c r="X35" s="805"/>
    </row>
    <row r="36" spans="1:24" x14ac:dyDescent="0.25">
      <c r="A36" s="1035">
        <v>27</v>
      </c>
      <c r="B36" s="1035" t="s">
        <v>13</v>
      </c>
      <c r="C36" s="1036" t="s">
        <v>98</v>
      </c>
      <c r="D36" s="1107" t="s">
        <v>17</v>
      </c>
      <c r="E36" s="1108">
        <f>Man02_credits</f>
        <v>4</v>
      </c>
      <c r="F36" s="1109"/>
      <c r="G36" s="1110" t="s">
        <v>85</v>
      </c>
      <c r="H36" s="1111">
        <f>Man02_11</f>
        <v>2.4E-2</v>
      </c>
      <c r="I36" s="1029"/>
      <c r="J36" s="807"/>
      <c r="K36" s="808"/>
      <c r="L36" s="800"/>
      <c r="M36" s="776"/>
      <c r="N36" s="801"/>
      <c r="O36" s="805"/>
      <c r="P36" s="805"/>
      <c r="Q36" s="805"/>
      <c r="R36" s="805"/>
      <c r="S36" s="805"/>
      <c r="T36" s="805"/>
      <c r="U36" s="805"/>
      <c r="V36" s="805"/>
      <c r="W36" s="805"/>
      <c r="X36" s="805"/>
    </row>
    <row r="37" spans="1:24" x14ac:dyDescent="0.25">
      <c r="A37" s="1035">
        <v>28</v>
      </c>
      <c r="B37" s="1035" t="s">
        <v>13</v>
      </c>
      <c r="C37" s="1036" t="s">
        <v>98</v>
      </c>
      <c r="D37" s="1112" t="s">
        <v>349</v>
      </c>
      <c r="E37" s="1113">
        <v>0</v>
      </c>
      <c r="F37" s="1114"/>
      <c r="G37" s="1115" t="s">
        <v>350</v>
      </c>
      <c r="H37" s="1116" t="s">
        <v>15</v>
      </c>
      <c r="I37" s="1029"/>
      <c r="K37" s="783"/>
      <c r="L37" s="800"/>
      <c r="M37" s="776"/>
      <c r="N37" s="801"/>
      <c r="O37" s="805"/>
      <c r="P37" s="805"/>
      <c r="Q37" s="805"/>
      <c r="R37" s="805"/>
      <c r="S37" s="805"/>
      <c r="T37" s="805"/>
      <c r="U37" s="805"/>
      <c r="V37" s="805"/>
      <c r="W37" s="805"/>
      <c r="X37" s="805"/>
    </row>
    <row r="38" spans="1:24" x14ac:dyDescent="0.25">
      <c r="A38" s="1035">
        <v>29</v>
      </c>
      <c r="B38" s="1035" t="s">
        <v>13</v>
      </c>
      <c r="C38" s="1036" t="s">
        <v>98</v>
      </c>
      <c r="I38" s="1029"/>
      <c r="K38" s="783"/>
      <c r="L38" s="800"/>
      <c r="M38" s="776"/>
      <c r="N38" s="801"/>
      <c r="O38" s="805"/>
      <c r="P38" s="805"/>
      <c r="Q38" s="805"/>
      <c r="R38" s="805"/>
      <c r="S38" s="805"/>
      <c r="T38" s="805"/>
      <c r="U38" s="805"/>
      <c r="V38" s="805"/>
      <c r="W38" s="805"/>
      <c r="X38" s="805"/>
    </row>
    <row r="39" spans="1:24" ht="15.75" thickBot="1" x14ac:dyDescent="0.3">
      <c r="A39" s="1035">
        <v>30</v>
      </c>
      <c r="B39" s="1035" t="s">
        <v>13</v>
      </c>
      <c r="C39" s="1036" t="s">
        <v>98</v>
      </c>
      <c r="D39" s="1117" t="s">
        <v>757</v>
      </c>
      <c r="E39" s="1118" t="s">
        <v>352</v>
      </c>
      <c r="F39" s="1118" t="s">
        <v>353</v>
      </c>
      <c r="G39" s="1118" t="s">
        <v>354</v>
      </c>
      <c r="H39" s="1118" t="s">
        <v>355</v>
      </c>
      <c r="I39" s="1029"/>
      <c r="K39" s="783"/>
      <c r="L39" s="800"/>
      <c r="M39" s="776"/>
      <c r="N39" s="801"/>
      <c r="O39" s="805"/>
      <c r="P39" s="805"/>
      <c r="Q39" s="805"/>
      <c r="R39" s="805"/>
      <c r="S39" s="805"/>
      <c r="T39" s="805"/>
      <c r="U39" s="805"/>
      <c r="V39" s="805"/>
      <c r="W39" s="805"/>
      <c r="X39" s="805"/>
    </row>
    <row r="40" spans="1:24" x14ac:dyDescent="0.25">
      <c r="A40" s="1035">
        <v>31</v>
      </c>
      <c r="B40" s="1035" t="s">
        <v>13</v>
      </c>
      <c r="C40" s="1036" t="s">
        <v>98</v>
      </c>
      <c r="D40" s="1119" t="s">
        <v>758</v>
      </c>
      <c r="E40" s="1093" t="s">
        <v>360</v>
      </c>
      <c r="F40" s="1139">
        <v>2</v>
      </c>
      <c r="G40" s="1139">
        <f>IF(AND(E40=AIS_Yes,E41=AIS_Yes),F40,0)</f>
        <v>0</v>
      </c>
      <c r="H40" s="1320" t="s">
        <v>16</v>
      </c>
      <c r="I40" s="1029"/>
      <c r="K40" s="783"/>
      <c r="L40" s="800"/>
      <c r="M40" s="776"/>
      <c r="N40" s="801"/>
      <c r="O40" s="102" t="s">
        <v>1273</v>
      </c>
      <c r="P40" s="49"/>
      <c r="Q40" s="49"/>
      <c r="R40" s="49"/>
      <c r="S40" s="49"/>
      <c r="T40" s="49"/>
      <c r="U40" s="49" t="str">
        <f>$T$4</f>
        <v>No</v>
      </c>
      <c r="V40" s="805"/>
      <c r="W40" s="805"/>
      <c r="X40" s="805"/>
    </row>
    <row r="41" spans="1:24" ht="15.75" thickBot="1" x14ac:dyDescent="0.3">
      <c r="A41" s="1035">
        <v>32</v>
      </c>
      <c r="B41" s="1035" t="s">
        <v>13</v>
      </c>
      <c r="C41" s="1036" t="s">
        <v>98</v>
      </c>
      <c r="D41" s="1123" t="s">
        <v>759</v>
      </c>
      <c r="E41" s="1100" t="s">
        <v>360</v>
      </c>
      <c r="F41" s="1140"/>
      <c r="G41" s="1140"/>
      <c r="H41" s="1321"/>
      <c r="I41" s="1029"/>
      <c r="K41" s="783"/>
      <c r="L41" s="800"/>
      <c r="M41" s="776"/>
      <c r="N41" s="801"/>
      <c r="O41" s="102" t="s">
        <v>1273</v>
      </c>
      <c r="P41" s="49"/>
      <c r="Q41" s="49"/>
      <c r="R41" s="49"/>
      <c r="S41" s="49"/>
      <c r="T41" s="49"/>
      <c r="U41" s="49" t="str">
        <f>$T$4</f>
        <v>No</v>
      </c>
      <c r="V41" s="805"/>
      <c r="W41" s="805"/>
      <c r="X41" s="805"/>
    </row>
    <row r="42" spans="1:24" x14ac:dyDescent="0.25">
      <c r="A42" s="1035">
        <v>33</v>
      </c>
      <c r="B42" s="1035" t="s">
        <v>13</v>
      </c>
      <c r="C42" s="1036" t="s">
        <v>98</v>
      </c>
      <c r="D42" s="775"/>
      <c r="E42" s="799"/>
      <c r="F42" s="775"/>
      <c r="G42" s="775"/>
      <c r="H42" s="775"/>
      <c r="I42" s="1029"/>
      <c r="K42" s="783"/>
      <c r="L42" s="800"/>
      <c r="M42" s="776"/>
      <c r="N42" s="801"/>
      <c r="O42" s="805"/>
      <c r="P42" s="805"/>
      <c r="Q42" s="805"/>
      <c r="R42" s="805"/>
      <c r="S42" s="805"/>
      <c r="T42" s="805"/>
      <c r="U42" s="805"/>
      <c r="V42" s="805"/>
      <c r="W42" s="805"/>
      <c r="X42" s="805"/>
    </row>
    <row r="43" spans="1:24" ht="15.75" thickBot="1" x14ac:dyDescent="0.3">
      <c r="A43" s="1035">
        <v>34</v>
      </c>
      <c r="B43" s="1035" t="s">
        <v>13</v>
      </c>
      <c r="C43" s="1036" t="s">
        <v>98</v>
      </c>
      <c r="D43" s="1117" t="s">
        <v>760</v>
      </c>
      <c r="E43" s="1118" t="s">
        <v>352</v>
      </c>
      <c r="F43" s="1118" t="s">
        <v>353</v>
      </c>
      <c r="G43" s="1118" t="s">
        <v>354</v>
      </c>
      <c r="H43" s="1118" t="s">
        <v>355</v>
      </c>
      <c r="I43" s="1029"/>
      <c r="K43" s="783"/>
      <c r="L43" s="800"/>
      <c r="M43" s="776"/>
      <c r="N43" s="801"/>
      <c r="O43" s="805"/>
      <c r="P43" s="805"/>
      <c r="Q43" s="805"/>
      <c r="R43" s="805"/>
      <c r="S43" s="805"/>
      <c r="T43" s="805"/>
      <c r="U43" s="805"/>
      <c r="V43" s="805"/>
      <c r="W43" s="805"/>
      <c r="X43" s="805"/>
    </row>
    <row r="44" spans="1:24" x14ac:dyDescent="0.25">
      <c r="A44" s="1035">
        <v>35</v>
      </c>
      <c r="B44" s="1035" t="s">
        <v>13</v>
      </c>
      <c r="C44" s="1036" t="s">
        <v>98</v>
      </c>
      <c r="D44" s="1119" t="s">
        <v>761</v>
      </c>
      <c r="E44" s="1093" t="s">
        <v>360</v>
      </c>
      <c r="F44" s="1139">
        <v>1</v>
      </c>
      <c r="G44" s="1139">
        <f>IF(AND(E44=AIS_Yes,E45=AIS_Yes),F44,0)</f>
        <v>0</v>
      </c>
      <c r="H44" s="1320" t="s">
        <v>16</v>
      </c>
      <c r="I44" s="1029"/>
      <c r="K44" s="783"/>
      <c r="L44" s="800"/>
      <c r="M44" s="776"/>
      <c r="N44" s="801"/>
      <c r="O44" s="102" t="s">
        <v>1273</v>
      </c>
      <c r="P44" s="49"/>
      <c r="Q44" s="49"/>
      <c r="R44" s="49"/>
      <c r="S44" s="49"/>
      <c r="T44" s="49"/>
      <c r="U44" s="49" t="str">
        <f>$T$4</f>
        <v>No</v>
      </c>
      <c r="V44" s="805"/>
      <c r="W44" s="805"/>
      <c r="X44" s="805"/>
    </row>
    <row r="45" spans="1:24" ht="15.75" thickBot="1" x14ac:dyDescent="0.3">
      <c r="A45" s="1035">
        <v>36</v>
      </c>
      <c r="B45" s="1035" t="s">
        <v>13</v>
      </c>
      <c r="C45" s="1036" t="s">
        <v>98</v>
      </c>
      <c r="D45" s="1123" t="s">
        <v>762</v>
      </c>
      <c r="E45" s="1100" t="s">
        <v>360</v>
      </c>
      <c r="F45" s="1140"/>
      <c r="G45" s="1140"/>
      <c r="H45" s="1321"/>
      <c r="I45" s="1029"/>
      <c r="K45" s="783"/>
      <c r="L45" s="800"/>
      <c r="M45" s="776"/>
      <c r="N45" s="801"/>
      <c r="O45" s="102" t="s">
        <v>1273</v>
      </c>
      <c r="P45" s="49"/>
      <c r="Q45" s="49"/>
      <c r="R45" s="49"/>
      <c r="S45" s="49"/>
      <c r="T45" s="49"/>
      <c r="U45" s="49" t="str">
        <f>$T$4</f>
        <v>No</v>
      </c>
      <c r="V45" s="805"/>
      <c r="W45" s="805"/>
      <c r="X45" s="805"/>
    </row>
    <row r="46" spans="1:24" x14ac:dyDescent="0.25">
      <c r="A46" s="1035">
        <v>37</v>
      </c>
      <c r="B46" s="1035" t="s">
        <v>13</v>
      </c>
      <c r="C46" s="1036" t="s">
        <v>98</v>
      </c>
      <c r="D46" s="775"/>
      <c r="E46" s="799"/>
      <c r="F46" s="775"/>
      <c r="G46" s="775"/>
      <c r="H46" s="775"/>
      <c r="I46" s="1029"/>
      <c r="K46" s="783"/>
      <c r="L46" s="800"/>
      <c r="M46" s="776"/>
      <c r="N46" s="801"/>
      <c r="O46" s="805"/>
      <c r="P46" s="805"/>
      <c r="Q46" s="805"/>
      <c r="R46" s="805"/>
      <c r="S46" s="805"/>
      <c r="T46" s="805"/>
      <c r="U46" s="805"/>
      <c r="V46" s="805"/>
      <c r="W46" s="805"/>
      <c r="X46" s="805"/>
    </row>
    <row r="47" spans="1:24" ht="15.75" thickBot="1" x14ac:dyDescent="0.3">
      <c r="A47" s="1035">
        <v>38</v>
      </c>
      <c r="B47" s="1035" t="s">
        <v>13</v>
      </c>
      <c r="C47" s="1036" t="s">
        <v>98</v>
      </c>
      <c r="D47" s="1117" t="s">
        <v>866</v>
      </c>
      <c r="E47" s="1118" t="s">
        <v>868</v>
      </c>
      <c r="F47" s="1118" t="s">
        <v>353</v>
      </c>
      <c r="G47" s="1118" t="s">
        <v>354</v>
      </c>
      <c r="H47" s="1118" t="s">
        <v>355</v>
      </c>
      <c r="I47" s="1029"/>
      <c r="K47" s="783"/>
      <c r="L47" s="800"/>
      <c r="M47" s="776"/>
      <c r="N47" s="801"/>
      <c r="O47" s="805"/>
      <c r="P47" s="805"/>
      <c r="Q47" s="805"/>
      <c r="R47" s="805"/>
      <c r="S47" s="805"/>
      <c r="T47" s="805"/>
      <c r="U47" s="805"/>
      <c r="V47" s="805"/>
      <c r="W47" s="805"/>
      <c r="X47" s="805"/>
    </row>
    <row r="48" spans="1:24" ht="15.75" thickBot="1" x14ac:dyDescent="0.3">
      <c r="A48" s="1035">
        <v>39</v>
      </c>
      <c r="B48" s="1035" t="s">
        <v>13</v>
      </c>
      <c r="C48" s="1036" t="s">
        <v>98</v>
      </c>
      <c r="D48" s="1142" t="s">
        <v>867</v>
      </c>
      <c r="E48" s="1089"/>
      <c r="F48" s="1143">
        <v>1</v>
      </c>
      <c r="G48" s="1143">
        <f>IF(E48="",0,F48)</f>
        <v>0</v>
      </c>
      <c r="H48" s="1322" t="s">
        <v>16</v>
      </c>
      <c r="I48" s="1029"/>
      <c r="K48" s="783"/>
      <c r="L48" s="800"/>
      <c r="M48" s="776"/>
      <c r="N48" s="801"/>
      <c r="O48" s="102" t="s">
        <v>1273</v>
      </c>
      <c r="P48" s="49"/>
      <c r="Q48" s="49"/>
      <c r="R48" s="49"/>
      <c r="S48" s="49"/>
      <c r="T48" s="49"/>
      <c r="U48" s="49" t="str">
        <f>$T$4</f>
        <v>No</v>
      </c>
      <c r="V48" s="805"/>
      <c r="W48" s="805"/>
      <c r="X48" s="805"/>
    </row>
    <row r="49" spans="1:24" x14ac:dyDescent="0.25">
      <c r="A49" s="1035">
        <v>40</v>
      </c>
      <c r="B49" s="1035" t="s">
        <v>13</v>
      </c>
      <c r="C49" s="1036" t="s">
        <v>98</v>
      </c>
      <c r="E49" s="1144"/>
      <c r="I49" s="1029"/>
      <c r="K49" s="783"/>
      <c r="L49" s="800"/>
      <c r="M49" s="776"/>
      <c r="N49" s="801"/>
      <c r="O49" s="805"/>
      <c r="P49" s="805"/>
      <c r="Q49" s="805"/>
      <c r="R49" s="805"/>
      <c r="S49" s="805"/>
      <c r="T49" s="805"/>
      <c r="U49" s="805"/>
      <c r="V49" s="805"/>
      <c r="W49" s="805"/>
      <c r="X49" s="805"/>
    </row>
    <row r="50" spans="1:24" x14ac:dyDescent="0.25">
      <c r="A50" s="1035">
        <v>41</v>
      </c>
      <c r="B50" s="1035" t="s">
        <v>13</v>
      </c>
      <c r="C50" s="1036" t="s">
        <v>98</v>
      </c>
      <c r="D50" s="1127" t="s">
        <v>356</v>
      </c>
      <c r="E50" s="1128">
        <f>IF((G40+G44+G48)&gt;E36,E36,G40+G44+G48)</f>
        <v>0</v>
      </c>
      <c r="I50" s="1029"/>
      <c r="K50" s="783"/>
      <c r="L50" s="800"/>
      <c r="M50" s="776"/>
      <c r="N50" s="801"/>
      <c r="O50" s="805"/>
      <c r="P50" s="805"/>
      <c r="Q50" s="805"/>
      <c r="R50" s="805"/>
      <c r="S50" s="805"/>
      <c r="T50" s="805"/>
      <c r="U50" s="805"/>
      <c r="V50" s="805"/>
      <c r="W50" s="805"/>
      <c r="X50" s="805"/>
    </row>
    <row r="51" spans="1:24" x14ac:dyDescent="0.25">
      <c r="A51" s="1035">
        <v>42</v>
      </c>
      <c r="B51" s="1035" t="s">
        <v>13</v>
      </c>
      <c r="C51" s="1036" t="s">
        <v>98</v>
      </c>
      <c r="D51" s="1129" t="s">
        <v>86</v>
      </c>
      <c r="E51" s="1130">
        <f>Man02_12</f>
        <v>0</v>
      </c>
      <c r="I51" s="1029"/>
      <c r="K51" s="783"/>
      <c r="L51" s="800"/>
      <c r="M51" s="776"/>
      <c r="N51" s="801"/>
      <c r="O51" s="805"/>
      <c r="P51" s="805"/>
      <c r="Q51" s="805"/>
      <c r="R51" s="805"/>
      <c r="S51" s="805"/>
      <c r="T51" s="805"/>
      <c r="U51" s="805"/>
      <c r="V51" s="805"/>
      <c r="W51" s="805"/>
      <c r="X51" s="805"/>
    </row>
    <row r="52" spans="1:24" x14ac:dyDescent="0.25">
      <c r="A52" s="1035">
        <v>43</v>
      </c>
      <c r="B52" s="1035" t="s">
        <v>13</v>
      </c>
      <c r="C52" s="1036" t="s">
        <v>98</v>
      </c>
      <c r="D52" s="1131" t="s">
        <v>357</v>
      </c>
      <c r="E52" s="1128" t="s">
        <v>16</v>
      </c>
      <c r="I52" s="1029"/>
      <c r="K52" s="783"/>
      <c r="L52" s="800"/>
      <c r="M52" s="776"/>
      <c r="N52" s="801"/>
      <c r="O52" s="805"/>
      <c r="P52" s="805"/>
      <c r="Q52" s="805"/>
      <c r="R52" s="805"/>
      <c r="S52" s="805"/>
      <c r="T52" s="805"/>
      <c r="U52" s="805"/>
      <c r="V52" s="805"/>
      <c r="W52" s="805"/>
      <c r="X52" s="805"/>
    </row>
    <row r="53" spans="1:24" x14ac:dyDescent="0.25">
      <c r="A53" s="1035">
        <v>44</v>
      </c>
      <c r="B53" s="1035" t="s">
        <v>13</v>
      </c>
      <c r="C53" s="1036" t="s">
        <v>98</v>
      </c>
      <c r="D53" s="1132" t="s">
        <v>55</v>
      </c>
      <c r="E53" s="1133" t="s">
        <v>16</v>
      </c>
      <c r="F53" s="1134"/>
      <c r="G53" s="1135"/>
      <c r="I53" s="1029"/>
      <c r="K53" s="783"/>
      <c r="L53" s="800"/>
      <c r="M53" s="776"/>
      <c r="N53" s="801"/>
      <c r="O53" s="805"/>
      <c r="P53" s="805"/>
      <c r="Q53" s="805"/>
      <c r="R53" s="805"/>
      <c r="S53" s="805"/>
      <c r="T53" s="805"/>
      <c r="U53" s="805"/>
      <c r="V53" s="805"/>
      <c r="W53" s="805"/>
      <c r="X53" s="805"/>
    </row>
    <row r="54" spans="1:24" x14ac:dyDescent="0.25">
      <c r="A54" s="1035">
        <v>45</v>
      </c>
      <c r="B54" s="1035" t="s">
        <v>13</v>
      </c>
      <c r="C54" s="1036" t="s">
        <v>98</v>
      </c>
      <c r="I54" s="1029"/>
      <c r="K54" s="783"/>
      <c r="L54" s="800"/>
      <c r="M54" s="776"/>
      <c r="N54" s="801"/>
      <c r="O54" s="805"/>
      <c r="P54" s="805"/>
      <c r="Q54" s="805"/>
      <c r="R54" s="805"/>
      <c r="S54" s="805"/>
      <c r="T54" s="805"/>
      <c r="U54" s="805"/>
      <c r="V54" s="805"/>
      <c r="W54" s="805"/>
      <c r="X54" s="805"/>
    </row>
    <row r="55" spans="1:24" x14ac:dyDescent="0.25">
      <c r="A55" s="1035">
        <v>46</v>
      </c>
      <c r="B55" s="1035" t="s">
        <v>13</v>
      </c>
      <c r="C55" s="1036" t="s">
        <v>98</v>
      </c>
      <c r="D55" s="1136" t="s">
        <v>359</v>
      </c>
      <c r="E55" s="1136" t="s">
        <v>977</v>
      </c>
      <c r="F55" s="1136" t="str">
        <f>HLOOKUP(C55,'Assessment References'!$H$512:$BG$513,2,FALSE)</f>
        <v xml:space="preserve">2, </v>
      </c>
      <c r="G55" s="1137"/>
      <c r="H55" s="1138"/>
      <c r="I55" s="1029"/>
      <c r="K55" s="783"/>
      <c r="L55" s="800"/>
      <c r="M55" s="776"/>
      <c r="N55" s="801"/>
      <c r="O55" s="805"/>
      <c r="P55" s="805"/>
      <c r="Q55" s="805"/>
      <c r="R55" s="805"/>
      <c r="S55" s="805"/>
      <c r="T55" s="805"/>
      <c r="U55" s="805"/>
      <c r="V55" s="805"/>
      <c r="W55" s="805"/>
      <c r="X55" s="805"/>
    </row>
    <row r="56" spans="1:24" x14ac:dyDescent="0.25">
      <c r="A56" s="1035">
        <v>47</v>
      </c>
      <c r="B56" s="1035" t="s">
        <v>13</v>
      </c>
      <c r="C56" s="1036" t="s">
        <v>98</v>
      </c>
      <c r="D56" s="1363"/>
      <c r="E56" s="1352"/>
      <c r="F56" s="1352"/>
      <c r="G56" s="1352"/>
      <c r="H56" s="1353"/>
      <c r="I56" s="1029"/>
      <c r="K56" s="783"/>
      <c r="L56" s="800"/>
      <c r="M56" s="776"/>
      <c r="N56" s="801"/>
      <c r="O56" s="805"/>
      <c r="P56" s="805"/>
      <c r="Q56" s="805"/>
      <c r="R56" s="805"/>
      <c r="S56" s="805"/>
      <c r="T56" s="805"/>
      <c r="U56" s="805"/>
      <c r="V56" s="805"/>
      <c r="W56" s="805"/>
      <c r="X56" s="805"/>
    </row>
    <row r="57" spans="1:24" x14ac:dyDescent="0.25">
      <c r="A57" s="1035">
        <v>48</v>
      </c>
      <c r="B57" s="1035" t="s">
        <v>13</v>
      </c>
      <c r="C57" s="1036" t="s">
        <v>98</v>
      </c>
      <c r="D57" s="1354"/>
      <c r="E57" s="1355"/>
      <c r="F57" s="1355"/>
      <c r="G57" s="1355"/>
      <c r="H57" s="1356"/>
      <c r="I57" s="1029"/>
      <c r="K57" s="783"/>
      <c r="L57" s="800"/>
      <c r="M57" s="776"/>
      <c r="N57" s="801"/>
      <c r="O57" s="805"/>
      <c r="P57" s="805"/>
      <c r="Q57" s="805"/>
      <c r="R57" s="805"/>
      <c r="S57" s="805"/>
      <c r="T57" s="805"/>
      <c r="U57" s="805"/>
      <c r="V57" s="805"/>
      <c r="W57" s="805"/>
      <c r="X57" s="805"/>
    </row>
    <row r="58" spans="1:24" x14ac:dyDescent="0.25">
      <c r="A58" s="1035">
        <v>49</v>
      </c>
      <c r="B58" s="1035" t="s">
        <v>13</v>
      </c>
      <c r="C58" s="1036" t="s">
        <v>98</v>
      </c>
      <c r="D58" s="1354"/>
      <c r="E58" s="1355"/>
      <c r="F58" s="1355"/>
      <c r="G58" s="1355"/>
      <c r="H58" s="1356"/>
      <c r="I58" s="1029"/>
      <c r="K58" s="783"/>
      <c r="L58" s="800"/>
      <c r="M58" s="776"/>
      <c r="N58" s="801"/>
      <c r="O58" s="805"/>
      <c r="P58" s="805"/>
      <c r="Q58" s="805"/>
      <c r="R58" s="805"/>
      <c r="S58" s="805"/>
      <c r="T58" s="805"/>
      <c r="U58" s="805"/>
      <c r="V58" s="805"/>
      <c r="W58" s="805"/>
      <c r="X58" s="805"/>
    </row>
    <row r="59" spans="1:24" x14ac:dyDescent="0.25">
      <c r="A59" s="1035">
        <v>50</v>
      </c>
      <c r="B59" s="1035" t="s">
        <v>13</v>
      </c>
      <c r="C59" s="1036" t="s">
        <v>98</v>
      </c>
      <c r="D59" s="1364"/>
      <c r="E59" s="1358"/>
      <c r="F59" s="1358"/>
      <c r="G59" s="1358"/>
      <c r="H59" s="1359"/>
      <c r="I59" s="1029"/>
      <c r="K59" s="783"/>
      <c r="L59" s="800"/>
      <c r="M59" s="776"/>
      <c r="N59" s="801"/>
      <c r="O59" s="805"/>
      <c r="P59" s="805"/>
      <c r="Q59" s="805"/>
      <c r="R59" s="805"/>
      <c r="S59" s="805"/>
      <c r="T59" s="805"/>
      <c r="U59" s="805"/>
      <c r="V59" s="805"/>
      <c r="W59" s="805"/>
      <c r="X59" s="805"/>
    </row>
    <row r="60" spans="1:24" x14ac:dyDescent="0.25">
      <c r="A60" s="1035">
        <v>51</v>
      </c>
      <c r="B60" s="1035" t="s">
        <v>13</v>
      </c>
      <c r="C60" s="1036" t="s">
        <v>98</v>
      </c>
      <c r="D60" s="1357"/>
      <c r="E60" s="1358"/>
      <c r="F60" s="1358"/>
      <c r="G60" s="1358"/>
      <c r="H60" s="1359"/>
      <c r="I60" s="1029"/>
      <c r="K60" s="783"/>
      <c r="L60" s="800"/>
      <c r="M60" s="776"/>
      <c r="N60" s="801"/>
      <c r="O60" s="805"/>
      <c r="P60" s="805"/>
      <c r="Q60" s="805"/>
      <c r="R60" s="805"/>
      <c r="S60" s="805"/>
      <c r="T60" s="805"/>
      <c r="U60" s="805"/>
      <c r="V60" s="805"/>
      <c r="W60" s="805"/>
      <c r="X60" s="805"/>
    </row>
    <row r="61" spans="1:24" x14ac:dyDescent="0.25">
      <c r="A61" s="1035">
        <v>52</v>
      </c>
      <c r="B61" s="1035" t="s">
        <v>13</v>
      </c>
      <c r="C61" s="1036" t="s">
        <v>98</v>
      </c>
      <c r="D61" s="1360"/>
      <c r="E61" s="1361"/>
      <c r="F61" s="1361"/>
      <c r="G61" s="1361"/>
      <c r="H61" s="1362"/>
      <c r="I61" s="1029"/>
      <c r="K61" s="783"/>
      <c r="L61" s="800"/>
      <c r="M61" s="776"/>
      <c r="N61" s="801"/>
      <c r="O61" s="805"/>
      <c r="P61" s="805"/>
      <c r="Q61" s="805"/>
      <c r="R61" s="805"/>
      <c r="S61" s="805"/>
      <c r="T61" s="805"/>
      <c r="U61" s="805"/>
      <c r="V61" s="805"/>
      <c r="W61" s="805"/>
      <c r="X61" s="805"/>
    </row>
    <row r="62" spans="1:24" ht="15.75" thickBot="1" x14ac:dyDescent="0.3">
      <c r="A62" s="1035">
        <v>53</v>
      </c>
      <c r="B62" s="1035" t="s">
        <v>13</v>
      </c>
      <c r="C62" s="1036" t="s">
        <v>98</v>
      </c>
      <c r="D62" s="1136"/>
      <c r="E62" s="1137"/>
      <c r="F62" s="1137"/>
      <c r="G62" s="1137"/>
      <c r="H62" s="1138"/>
      <c r="I62" s="1029"/>
      <c r="K62" s="783"/>
      <c r="L62" s="800"/>
      <c r="M62" s="776"/>
      <c r="N62" s="801"/>
      <c r="O62" s="805"/>
      <c r="P62" s="805"/>
      <c r="Q62" s="805"/>
      <c r="R62" s="805"/>
      <c r="S62" s="805"/>
      <c r="T62" s="805"/>
      <c r="U62" s="805"/>
      <c r="V62" s="805"/>
      <c r="W62" s="805"/>
      <c r="X62" s="805"/>
    </row>
    <row r="63" spans="1:24" ht="15.75" thickBot="1" x14ac:dyDescent="0.3">
      <c r="A63" s="1037">
        <v>54</v>
      </c>
      <c r="B63" s="1037" t="s">
        <v>13</v>
      </c>
      <c r="C63" s="802" t="s">
        <v>99</v>
      </c>
      <c r="D63" s="1103" t="s">
        <v>882</v>
      </c>
      <c r="E63" s="1104"/>
      <c r="F63" s="1104"/>
      <c r="G63" s="1105"/>
      <c r="H63" s="1106"/>
      <c r="I63" s="1029"/>
      <c r="K63" s="783"/>
      <c r="L63" s="809" t="str">
        <f>C63</f>
        <v>Man 03</v>
      </c>
      <c r="M63" s="776"/>
      <c r="N63" s="801"/>
      <c r="R63" s="805"/>
      <c r="S63" s="805"/>
      <c r="T63" s="805"/>
      <c r="U63" s="805"/>
      <c r="V63" s="805"/>
      <c r="W63" s="805"/>
      <c r="X63" s="805"/>
    </row>
    <row r="64" spans="1:24" x14ac:dyDescent="0.25">
      <c r="A64" s="1035">
        <v>55</v>
      </c>
      <c r="B64" s="1035" t="s">
        <v>13</v>
      </c>
      <c r="C64" s="1035" t="s">
        <v>99</v>
      </c>
      <c r="D64" s="1107" t="s">
        <v>17</v>
      </c>
      <c r="E64" s="1108">
        <f>Man03_credits</f>
        <v>6</v>
      </c>
      <c r="F64" s="1109"/>
      <c r="G64" s="1110" t="s">
        <v>85</v>
      </c>
      <c r="H64" s="1111">
        <f>Man03_12</f>
        <v>3.6000000000000004E-2</v>
      </c>
      <c r="I64" s="1029"/>
      <c r="K64" s="783"/>
      <c r="L64" s="810" t="s">
        <v>360</v>
      </c>
      <c r="M64" s="776"/>
      <c r="N64" s="801"/>
      <c r="O64" s="805"/>
      <c r="P64" s="805"/>
      <c r="Q64" s="805"/>
      <c r="R64" s="805"/>
      <c r="S64" s="805"/>
      <c r="T64" s="805"/>
      <c r="U64" s="805"/>
      <c r="V64" s="805"/>
      <c r="W64" s="805"/>
      <c r="X64" s="805"/>
    </row>
    <row r="65" spans="1:29" x14ac:dyDescent="0.25">
      <c r="A65" s="1035">
        <v>56</v>
      </c>
      <c r="B65" s="1035" t="s">
        <v>13</v>
      </c>
      <c r="C65" s="1035" t="s">
        <v>99</v>
      </c>
      <c r="D65" s="1112" t="s">
        <v>349</v>
      </c>
      <c r="E65" s="1113">
        <v>0</v>
      </c>
      <c r="F65" s="1114"/>
      <c r="G65" s="1115" t="s">
        <v>350</v>
      </c>
      <c r="H65" s="1116" t="s">
        <v>14</v>
      </c>
      <c r="I65" s="1029"/>
      <c r="K65" s="783"/>
      <c r="L65" s="811" t="s">
        <v>773</v>
      </c>
      <c r="M65" s="776"/>
      <c r="N65" s="801"/>
      <c r="O65" s="805"/>
      <c r="P65" s="805"/>
      <c r="Q65" s="805"/>
      <c r="R65" s="805"/>
      <c r="S65" s="805"/>
      <c r="T65" s="805"/>
      <c r="U65" s="805"/>
      <c r="V65" s="805"/>
      <c r="W65" s="805"/>
      <c r="X65" s="805"/>
    </row>
    <row r="66" spans="1:29" x14ac:dyDescent="0.25">
      <c r="A66" s="1035">
        <v>57</v>
      </c>
      <c r="B66" s="1035" t="s">
        <v>13</v>
      </c>
      <c r="C66" s="1035" t="s">
        <v>99</v>
      </c>
      <c r="I66" s="1029"/>
      <c r="K66" s="783"/>
      <c r="L66" s="811" t="s">
        <v>1017</v>
      </c>
      <c r="M66" s="776"/>
      <c r="N66" s="801"/>
      <c r="O66" s="805"/>
      <c r="P66" s="805"/>
      <c r="Q66" s="805"/>
      <c r="R66" s="805"/>
      <c r="S66" s="805"/>
      <c r="T66" s="805"/>
      <c r="U66" s="805"/>
      <c r="V66" s="805"/>
      <c r="W66" s="805"/>
      <c r="X66" s="805"/>
    </row>
    <row r="67" spans="1:29" ht="15.75" thickBot="1" x14ac:dyDescent="0.3">
      <c r="A67" s="1035">
        <v>58</v>
      </c>
      <c r="B67" s="1035" t="s">
        <v>13</v>
      </c>
      <c r="C67" s="1035" t="s">
        <v>99</v>
      </c>
      <c r="D67" s="1117" t="s">
        <v>869</v>
      </c>
      <c r="E67" s="1118" t="s">
        <v>352</v>
      </c>
      <c r="I67" s="1029"/>
      <c r="K67" s="783"/>
      <c r="L67" s="812" t="s">
        <v>774</v>
      </c>
      <c r="M67" s="776"/>
      <c r="N67" s="801"/>
      <c r="O67" s="805"/>
      <c r="P67" s="805"/>
      <c r="Q67" s="805"/>
      <c r="R67" s="805"/>
      <c r="S67" s="805"/>
      <c r="T67" s="805"/>
      <c r="U67" s="805"/>
      <c r="V67" s="805"/>
      <c r="W67" s="805"/>
      <c r="X67" s="805"/>
    </row>
    <row r="68" spans="1:29" ht="15.75" thickBot="1" x14ac:dyDescent="0.3">
      <c r="A68" s="1035">
        <v>59</v>
      </c>
      <c r="B68" s="1035" t="s">
        <v>13</v>
      </c>
      <c r="C68" s="1035" t="s">
        <v>99</v>
      </c>
      <c r="D68" s="1142" t="s">
        <v>447</v>
      </c>
      <c r="E68" s="1099" t="s">
        <v>360</v>
      </c>
      <c r="F68" s="1145" t="str">
        <f>IF(OR(E68=AIS_No,E68=AIS_PS),"Pre-requisite: Please select yes","")</f>
        <v>Pre-requisite: Please select yes</v>
      </c>
      <c r="I68" s="1029"/>
      <c r="K68" s="813"/>
      <c r="L68" s="814"/>
      <c r="M68" s="776"/>
      <c r="N68" s="801"/>
      <c r="O68" s="805"/>
      <c r="P68" s="805"/>
      <c r="Q68" s="805"/>
      <c r="R68" s="805"/>
      <c r="S68" s="805"/>
      <c r="T68" s="805"/>
      <c r="U68" s="805"/>
      <c r="V68" s="805"/>
      <c r="W68" s="805"/>
      <c r="X68" s="805"/>
    </row>
    <row r="69" spans="1:29" ht="15.75" thickBot="1" x14ac:dyDescent="0.3">
      <c r="A69" s="1035">
        <v>60</v>
      </c>
      <c r="B69" s="1035" t="s">
        <v>13</v>
      </c>
      <c r="C69" s="1035" t="s">
        <v>99</v>
      </c>
      <c r="I69" s="1029"/>
      <c r="K69" s="783"/>
      <c r="L69" s="800"/>
      <c r="M69" s="776"/>
      <c r="N69" s="801"/>
      <c r="O69" s="805"/>
      <c r="P69" s="805"/>
      <c r="Q69" s="805"/>
      <c r="R69" s="805"/>
      <c r="S69" s="805"/>
      <c r="T69" s="805"/>
      <c r="U69" s="805"/>
      <c r="V69" s="805"/>
      <c r="W69" s="805"/>
      <c r="X69" s="805"/>
    </row>
    <row r="70" spans="1:29" ht="15.75" thickBot="1" x14ac:dyDescent="0.3">
      <c r="A70" s="1035">
        <v>61</v>
      </c>
      <c r="B70" s="1035" t="s">
        <v>13</v>
      </c>
      <c r="C70" s="1035" t="s">
        <v>99</v>
      </c>
      <c r="D70" s="1117" t="s">
        <v>764</v>
      </c>
      <c r="E70" s="1118" t="s">
        <v>352</v>
      </c>
      <c r="F70" s="1118" t="s">
        <v>353</v>
      </c>
      <c r="G70" s="1118" t="s">
        <v>354</v>
      </c>
      <c r="H70" s="1118" t="s">
        <v>355</v>
      </c>
      <c r="I70" s="1029"/>
      <c r="K70" s="783"/>
      <c r="L70" s="815" t="str">
        <f>'Assessment Details'!F6</f>
        <v>General office building</v>
      </c>
      <c r="M70" s="776"/>
      <c r="N70" s="801"/>
      <c r="O70" s="805"/>
      <c r="P70" s="805"/>
      <c r="Q70" s="805"/>
      <c r="R70" s="805"/>
      <c r="S70" s="805"/>
      <c r="T70" s="805"/>
      <c r="U70" s="805"/>
      <c r="V70" s="805"/>
      <c r="W70" s="805"/>
      <c r="X70" s="805"/>
    </row>
    <row r="71" spans="1:29" x14ac:dyDescent="0.25">
      <c r="A71" s="1035">
        <v>62</v>
      </c>
      <c r="B71" s="1035" t="s">
        <v>13</v>
      </c>
      <c r="C71" s="1035" t="s">
        <v>99</v>
      </c>
      <c r="D71" s="1119" t="s">
        <v>765</v>
      </c>
      <c r="E71" s="1093" t="s">
        <v>360</v>
      </c>
      <c r="F71" s="1139"/>
      <c r="G71" s="1139"/>
      <c r="H71" s="1320" t="s">
        <v>16</v>
      </c>
      <c r="I71" s="1029"/>
      <c r="K71" s="783"/>
      <c r="L71" s="810" t="str">
        <f>'Assessment Details'!T6</f>
        <v>Bespoke</v>
      </c>
      <c r="M71" s="776"/>
      <c r="N71" s="801"/>
      <c r="O71" s="102" t="s">
        <v>1273</v>
      </c>
      <c r="P71" s="49"/>
      <c r="Q71" s="49"/>
      <c r="R71" s="49"/>
      <c r="S71" s="49"/>
      <c r="T71" s="49"/>
      <c r="U71" s="49" t="str">
        <f>$T$4</f>
        <v>No</v>
      </c>
      <c r="V71" s="49"/>
      <c r="W71" s="49"/>
      <c r="X71" s="49"/>
      <c r="Y71" s="49"/>
      <c r="Z71" s="49"/>
      <c r="AA71" s="49"/>
      <c r="AB71" s="49"/>
      <c r="AC71" s="1268"/>
    </row>
    <row r="72" spans="1:29" ht="15.75" thickBot="1" x14ac:dyDescent="0.3">
      <c r="A72" s="1035">
        <v>63</v>
      </c>
      <c r="B72" s="1035" t="s">
        <v>13</v>
      </c>
      <c r="C72" s="1035" t="s">
        <v>99</v>
      </c>
      <c r="D72" s="1121" t="s">
        <v>767</v>
      </c>
      <c r="E72" s="1091" t="s">
        <v>360</v>
      </c>
      <c r="F72" s="1146">
        <v>1</v>
      </c>
      <c r="G72" s="1146">
        <f>IF(AND(E71=AIS_Yes,E72=AIS_Yes,E73=AIS_Yes),F72,0)</f>
        <v>0</v>
      </c>
      <c r="H72" s="1323" t="s">
        <v>16</v>
      </c>
      <c r="I72" s="1029"/>
      <c r="K72" s="783"/>
      <c r="L72" s="816">
        <f>'Assessment Details'!T7</f>
        <v>0</v>
      </c>
      <c r="M72" s="776"/>
      <c r="N72" s="801"/>
      <c r="O72" s="102" t="s">
        <v>1273</v>
      </c>
      <c r="P72" s="49"/>
      <c r="Q72" s="49"/>
      <c r="R72" s="49"/>
      <c r="S72" s="49"/>
      <c r="T72" s="49"/>
      <c r="U72" s="49" t="str">
        <f>$T$4</f>
        <v>No</v>
      </c>
      <c r="V72" s="49"/>
      <c r="W72" s="49"/>
      <c r="X72" s="49"/>
      <c r="Y72" s="49"/>
      <c r="Z72" s="49"/>
      <c r="AA72" s="49"/>
      <c r="AB72" s="49"/>
      <c r="AC72" s="1268"/>
    </row>
    <row r="73" spans="1:29" ht="15.75" thickBot="1" x14ac:dyDescent="0.3">
      <c r="A73" s="1035">
        <v>64</v>
      </c>
      <c r="B73" s="1035" t="s">
        <v>13</v>
      </c>
      <c r="C73" s="1035" t="s">
        <v>99</v>
      </c>
      <c r="D73" s="1147" t="s">
        <v>766</v>
      </c>
      <c r="E73" s="1092" t="s">
        <v>360</v>
      </c>
      <c r="F73" s="1140"/>
      <c r="G73" s="1140"/>
      <c r="H73" s="1321" t="s">
        <v>16</v>
      </c>
      <c r="I73" s="1029"/>
      <c r="K73" s="783"/>
      <c r="L73" s="810" t="s">
        <v>1018</v>
      </c>
      <c r="M73" s="776"/>
      <c r="N73" s="801"/>
      <c r="O73" s="102" t="s">
        <v>1273</v>
      </c>
      <c r="P73" s="49"/>
      <c r="Q73" s="49"/>
      <c r="R73" s="49"/>
      <c r="S73" s="49"/>
      <c r="T73" s="49"/>
      <c r="U73" s="49" t="str">
        <f>$T$4</f>
        <v>No</v>
      </c>
      <c r="V73" s="49"/>
      <c r="W73" s="49"/>
      <c r="X73" s="49"/>
      <c r="Y73" s="49"/>
      <c r="Z73" s="49"/>
      <c r="AA73" s="49"/>
      <c r="AB73" s="49"/>
      <c r="AC73" s="1268"/>
    </row>
    <row r="74" spans="1:29" ht="15.75" thickBot="1" x14ac:dyDescent="0.3">
      <c r="A74" s="1035">
        <v>65</v>
      </c>
      <c r="B74" s="1035" t="s">
        <v>13</v>
      </c>
      <c r="C74" s="1035" t="s">
        <v>99</v>
      </c>
      <c r="I74" s="1029"/>
      <c r="K74" s="783"/>
      <c r="L74" s="812">
        <f>IF(AND(OR(E79=L66,E79=L67),E80=AIS_Yes),2,IF(E80=AIS_Yes,1,0))</f>
        <v>0</v>
      </c>
      <c r="M74" s="776"/>
      <c r="N74" s="801"/>
      <c r="O74" s="49"/>
      <c r="P74" s="49"/>
      <c r="Q74" s="49"/>
      <c r="R74" s="49"/>
      <c r="S74" s="49"/>
      <c r="T74" s="49"/>
      <c r="U74" s="49"/>
      <c r="V74" s="49"/>
      <c r="W74" s="49"/>
      <c r="X74" s="49"/>
      <c r="Y74" s="49"/>
      <c r="Z74" s="49"/>
      <c r="AA74" s="49"/>
      <c r="AB74" s="49"/>
    </row>
    <row r="75" spans="1:29" ht="15.75" thickBot="1" x14ac:dyDescent="0.3">
      <c r="A75" s="1035">
        <v>66</v>
      </c>
      <c r="B75" s="1035" t="s">
        <v>13</v>
      </c>
      <c r="C75" s="1035" t="s">
        <v>99</v>
      </c>
      <c r="D75" s="1117" t="s">
        <v>769</v>
      </c>
      <c r="E75" s="1118" t="s">
        <v>352</v>
      </c>
      <c r="F75" s="1118" t="s">
        <v>353</v>
      </c>
      <c r="G75" s="1118" t="s">
        <v>354</v>
      </c>
      <c r="H75" s="1118" t="s">
        <v>355</v>
      </c>
      <c r="I75" s="1029"/>
      <c r="K75" s="783"/>
      <c r="L75" s="810" t="s">
        <v>771</v>
      </c>
      <c r="M75" s="776"/>
      <c r="N75" s="801"/>
      <c r="O75" s="49"/>
      <c r="P75" s="49"/>
      <c r="Q75" s="49"/>
      <c r="R75" s="49"/>
      <c r="S75" s="49"/>
      <c r="T75" s="49"/>
      <c r="U75" s="49"/>
      <c r="V75" s="49"/>
      <c r="W75" s="49"/>
      <c r="X75" s="49"/>
      <c r="Y75" s="49"/>
      <c r="Z75" s="49"/>
      <c r="AA75" s="49"/>
      <c r="AB75" s="49"/>
    </row>
    <row r="76" spans="1:29" ht="15.75" thickBot="1" x14ac:dyDescent="0.3">
      <c r="A76" s="1035">
        <v>67</v>
      </c>
      <c r="B76" s="1035" t="s">
        <v>13</v>
      </c>
      <c r="C76" s="1035" t="s">
        <v>99</v>
      </c>
      <c r="D76" s="1142" t="s">
        <v>768</v>
      </c>
      <c r="E76" s="1099" t="s">
        <v>360</v>
      </c>
      <c r="F76" s="1143">
        <v>1</v>
      </c>
      <c r="G76" s="1143">
        <f>IF(E76=AIS_Yes,F76,0)</f>
        <v>0</v>
      </c>
      <c r="H76" s="1322" t="s">
        <v>16</v>
      </c>
      <c r="I76" s="1029"/>
      <c r="K76" s="783"/>
      <c r="L76" s="817">
        <f>IF(E79=L66,1,IF(AND(E79=L67,E80=AIS_Yes),2,IF(E79=L67,1,0)))</f>
        <v>0</v>
      </c>
      <c r="M76" s="776"/>
      <c r="N76" s="801"/>
      <c r="O76" s="102" t="s">
        <v>1273</v>
      </c>
      <c r="P76" s="49"/>
      <c r="Q76" s="49"/>
      <c r="R76" s="49"/>
      <c r="S76" s="49"/>
      <c r="T76" s="49"/>
      <c r="U76" s="49" t="str">
        <f>$T$4</f>
        <v>No</v>
      </c>
      <c r="V76" s="49"/>
      <c r="W76" s="49"/>
      <c r="X76" s="49"/>
      <c r="Y76" s="49"/>
      <c r="Z76" s="49"/>
      <c r="AA76" s="49"/>
      <c r="AB76" s="49"/>
      <c r="AC76" s="1268"/>
    </row>
    <row r="77" spans="1:29" ht="15.75" thickBot="1" x14ac:dyDescent="0.3">
      <c r="A77" s="1035">
        <v>68</v>
      </c>
      <c r="B77" s="1035" t="s">
        <v>13</v>
      </c>
      <c r="C77" s="1035" t="s">
        <v>99</v>
      </c>
      <c r="I77" s="1029"/>
      <c r="K77" s="783"/>
      <c r="L77" s="818"/>
      <c r="M77" s="776"/>
      <c r="N77" s="801"/>
      <c r="O77" s="49"/>
      <c r="P77" s="49"/>
      <c r="Q77" s="49"/>
      <c r="R77" s="49"/>
      <c r="S77" s="49"/>
      <c r="T77" s="49"/>
      <c r="U77" s="49"/>
      <c r="V77" s="49"/>
      <c r="W77" s="49"/>
      <c r="X77" s="49"/>
      <c r="Y77" s="49"/>
      <c r="Z77" s="49"/>
      <c r="AA77" s="49"/>
      <c r="AB77" s="49"/>
    </row>
    <row r="78" spans="1:29" ht="15.75" thickBot="1" x14ac:dyDescent="0.3">
      <c r="A78" s="1035">
        <v>69</v>
      </c>
      <c r="B78" s="1035" t="s">
        <v>13</v>
      </c>
      <c r="C78" s="1035" t="s">
        <v>99</v>
      </c>
      <c r="D78" s="1117" t="s">
        <v>770</v>
      </c>
      <c r="E78" s="1118" t="s">
        <v>352</v>
      </c>
      <c r="F78" s="1118" t="s">
        <v>353</v>
      </c>
      <c r="G78" s="1118" t="s">
        <v>354</v>
      </c>
      <c r="H78" s="1118" t="s">
        <v>355</v>
      </c>
      <c r="I78" s="1029"/>
      <c r="K78" s="783"/>
      <c r="L78" s="810" t="s">
        <v>775</v>
      </c>
      <c r="M78" s="776"/>
      <c r="N78" s="801"/>
      <c r="O78" s="49"/>
      <c r="P78" s="49"/>
      <c r="Q78" s="49"/>
      <c r="R78" s="49"/>
      <c r="S78" s="49"/>
      <c r="T78" s="49"/>
      <c r="U78" s="49"/>
      <c r="V78" s="49"/>
      <c r="W78" s="49"/>
      <c r="X78" s="49"/>
      <c r="Y78" s="49"/>
      <c r="Z78" s="49"/>
      <c r="AA78" s="49"/>
      <c r="AB78" s="49"/>
    </row>
    <row r="79" spans="1:29" ht="15.75" thickBot="1" x14ac:dyDescent="0.3">
      <c r="A79" s="1035">
        <v>70</v>
      </c>
      <c r="B79" s="1035" t="s">
        <v>13</v>
      </c>
      <c r="C79" s="1035" t="s">
        <v>99</v>
      </c>
      <c r="D79" s="1119" t="s">
        <v>772</v>
      </c>
      <c r="E79" s="1093" t="s">
        <v>360</v>
      </c>
      <c r="F79" s="1139">
        <v>2</v>
      </c>
      <c r="G79" s="1139">
        <f>IF(OR(L70=L71,L70=L72),L74,L76)</f>
        <v>0</v>
      </c>
      <c r="H79" s="1320" t="s">
        <v>16</v>
      </c>
      <c r="I79" s="1029"/>
      <c r="K79" s="783"/>
      <c r="L79" s="817">
        <f>G79</f>
        <v>0</v>
      </c>
      <c r="M79" s="776"/>
      <c r="N79" s="801"/>
      <c r="O79" s="102" t="s">
        <v>1273</v>
      </c>
      <c r="P79" s="49"/>
      <c r="Q79" s="49"/>
      <c r="R79" s="49"/>
      <c r="S79" s="49"/>
      <c r="T79" s="49"/>
      <c r="U79" s="49" t="str">
        <f>$T$4</f>
        <v>No</v>
      </c>
      <c r="V79" s="49"/>
      <c r="W79" s="49"/>
      <c r="X79" s="49"/>
      <c r="Y79" s="49"/>
      <c r="Z79" s="49"/>
      <c r="AA79" s="49"/>
      <c r="AB79" s="49"/>
      <c r="AC79" s="1268"/>
    </row>
    <row r="80" spans="1:29" ht="15.75" thickBot="1" x14ac:dyDescent="0.3">
      <c r="A80" s="1035">
        <v>71</v>
      </c>
      <c r="B80" s="1035" t="s">
        <v>13</v>
      </c>
      <c r="C80" s="1035" t="s">
        <v>99</v>
      </c>
      <c r="D80" s="1123" t="str">
        <f>IF(OR(L70=L71,L70=L72),L73,L75)</f>
        <v>The contractor's performance has been confirmed by independent assessment and verification</v>
      </c>
      <c r="E80" s="1092" t="s">
        <v>360</v>
      </c>
      <c r="F80" s="1140"/>
      <c r="G80" s="1140"/>
      <c r="H80" s="1321" t="s">
        <v>16</v>
      </c>
      <c r="I80" s="1029"/>
      <c r="K80" s="783"/>
      <c r="L80" s="814"/>
      <c r="M80" s="776"/>
      <c r="N80" s="801"/>
      <c r="O80" s="102" t="s">
        <v>1273</v>
      </c>
      <c r="P80" s="49"/>
      <c r="Q80" s="49"/>
      <c r="R80" s="49"/>
      <c r="S80" s="49"/>
      <c r="T80" s="49"/>
      <c r="U80" s="49" t="str">
        <f>$T$4</f>
        <v>No</v>
      </c>
      <c r="V80" s="49"/>
      <c r="W80" s="49"/>
      <c r="X80" s="49"/>
      <c r="Y80" s="49"/>
      <c r="Z80" s="49"/>
      <c r="AA80" s="49"/>
      <c r="AB80" s="49"/>
      <c r="AC80" s="1268"/>
    </row>
    <row r="81" spans="1:29" x14ac:dyDescent="0.25">
      <c r="A81" s="1035">
        <v>72</v>
      </c>
      <c r="B81" s="1035" t="s">
        <v>13</v>
      </c>
      <c r="C81" s="1035" t="s">
        <v>99</v>
      </c>
      <c r="I81" s="1029"/>
      <c r="K81" s="783"/>
      <c r="L81" s="800"/>
      <c r="M81" s="776"/>
      <c r="N81" s="801"/>
      <c r="O81" s="49"/>
      <c r="P81" s="49"/>
      <c r="Q81" s="49"/>
      <c r="R81" s="49"/>
      <c r="S81" s="49"/>
      <c r="T81" s="49"/>
      <c r="U81" s="49"/>
      <c r="V81" s="49"/>
      <c r="W81" s="49"/>
      <c r="X81" s="49"/>
      <c r="Y81" s="49"/>
      <c r="Z81" s="49"/>
      <c r="AA81" s="49"/>
      <c r="AB81" s="49"/>
    </row>
    <row r="82" spans="1:29" ht="15.75" thickBot="1" x14ac:dyDescent="0.3">
      <c r="A82" s="1035">
        <v>73</v>
      </c>
      <c r="B82" s="1035" t="s">
        <v>13</v>
      </c>
      <c r="C82" s="1035" t="s">
        <v>99</v>
      </c>
      <c r="D82" s="1117" t="s">
        <v>777</v>
      </c>
      <c r="E82" s="1118" t="s">
        <v>352</v>
      </c>
      <c r="F82" s="1118" t="s">
        <v>353</v>
      </c>
      <c r="G82" s="1118" t="s">
        <v>354</v>
      </c>
      <c r="H82" s="1118" t="s">
        <v>355</v>
      </c>
      <c r="I82" s="1029"/>
      <c r="K82" s="783"/>
      <c r="L82" s="800"/>
      <c r="M82" s="776"/>
      <c r="N82" s="801"/>
      <c r="O82" s="49"/>
      <c r="P82" s="49"/>
      <c r="Q82" s="49"/>
      <c r="R82" s="49"/>
      <c r="S82" s="49"/>
      <c r="T82" s="49"/>
      <c r="U82" s="49"/>
      <c r="V82" s="49"/>
      <c r="W82" s="49"/>
      <c r="X82" s="49"/>
      <c r="Y82" s="49"/>
      <c r="Z82" s="49"/>
      <c r="AA82" s="49"/>
      <c r="AB82" s="49"/>
    </row>
    <row r="83" spans="1:29" ht="15.75" thickBot="1" x14ac:dyDescent="0.3">
      <c r="A83" s="1035">
        <v>74</v>
      </c>
      <c r="B83" s="1035" t="s">
        <v>13</v>
      </c>
      <c r="C83" s="1035" t="s">
        <v>99</v>
      </c>
      <c r="D83" s="1119" t="s">
        <v>778</v>
      </c>
      <c r="E83" s="1093" t="s">
        <v>360</v>
      </c>
      <c r="F83" s="1139">
        <v>2</v>
      </c>
      <c r="G83" s="1139">
        <f>IF(AND(L84=1,L85=1),1,0)+L86</f>
        <v>0</v>
      </c>
      <c r="H83" s="1320" t="s">
        <v>16</v>
      </c>
      <c r="I83" s="1029"/>
      <c r="K83" s="783"/>
      <c r="L83" s="819"/>
      <c r="M83" s="776"/>
      <c r="N83" s="801"/>
      <c r="O83" s="102" t="s">
        <v>1273</v>
      </c>
      <c r="P83" s="49"/>
      <c r="Q83" s="49"/>
      <c r="R83" s="49"/>
      <c r="S83" s="49"/>
      <c r="T83" s="49"/>
      <c r="U83" s="49" t="str">
        <f>$T$4</f>
        <v>No</v>
      </c>
      <c r="V83" s="49"/>
      <c r="W83" s="49"/>
      <c r="X83" s="49"/>
      <c r="Y83" s="49"/>
      <c r="Z83" s="49"/>
      <c r="AA83" s="49"/>
      <c r="AB83" s="49"/>
      <c r="AC83" s="1268"/>
    </row>
    <row r="84" spans="1:29" x14ac:dyDescent="0.25">
      <c r="A84" s="1035">
        <v>75</v>
      </c>
      <c r="B84" s="1035" t="s">
        <v>13</v>
      </c>
      <c r="C84" s="1035" t="s">
        <v>99</v>
      </c>
      <c r="D84" s="1121" t="s">
        <v>362</v>
      </c>
      <c r="E84" s="1091" t="s">
        <v>360</v>
      </c>
      <c r="F84" s="1146"/>
      <c r="G84" s="1146"/>
      <c r="H84" s="1324" t="s">
        <v>16</v>
      </c>
      <c r="I84" s="1029"/>
      <c r="K84" s="783"/>
      <c r="L84" s="810">
        <f>IF(AND(E84=AIS_Yes,E89&lt;&gt;"",E99&lt;&gt;""),1,0)</f>
        <v>0</v>
      </c>
      <c r="M84" s="776"/>
      <c r="N84" s="801"/>
      <c r="O84" s="102" t="s">
        <v>1273</v>
      </c>
      <c r="P84" s="49"/>
      <c r="Q84" s="49"/>
      <c r="R84" s="49"/>
      <c r="S84" s="49"/>
      <c r="T84" s="49"/>
      <c r="U84" s="49" t="str">
        <f>$T$4</f>
        <v>No</v>
      </c>
      <c r="V84" s="49"/>
      <c r="W84" s="49"/>
      <c r="X84" s="49"/>
      <c r="Y84" s="49"/>
      <c r="Z84" s="49"/>
      <c r="AA84" s="49"/>
      <c r="AB84" s="49"/>
      <c r="AC84" s="1268"/>
    </row>
    <row r="85" spans="1:29" x14ac:dyDescent="0.25">
      <c r="A85" s="1035">
        <v>76</v>
      </c>
      <c r="B85" s="1035" t="s">
        <v>13</v>
      </c>
      <c r="C85" s="1035" t="s">
        <v>99</v>
      </c>
      <c r="D85" s="1121" t="s">
        <v>363</v>
      </c>
      <c r="E85" s="1091" t="s">
        <v>360</v>
      </c>
      <c r="F85" s="1146"/>
      <c r="G85" s="1146"/>
      <c r="H85" s="1323" t="s">
        <v>16</v>
      </c>
      <c r="I85" s="1029"/>
      <c r="K85" s="783"/>
      <c r="L85" s="811">
        <f>IF(AND(E85=AIS_Yes,E107&lt;&gt;""),1,0)</f>
        <v>0</v>
      </c>
      <c r="M85" s="776"/>
      <c r="N85" s="801"/>
      <c r="O85" s="102" t="s">
        <v>1273</v>
      </c>
      <c r="P85" s="49"/>
      <c r="Q85" s="49"/>
      <c r="R85" s="49"/>
      <c r="S85" s="49"/>
      <c r="T85" s="49"/>
      <c r="U85" s="49" t="str">
        <f>$T$4</f>
        <v>No</v>
      </c>
      <c r="V85" s="49"/>
      <c r="W85" s="49"/>
      <c r="X85" s="49"/>
      <c r="Y85" s="49"/>
      <c r="Z85" s="49"/>
      <c r="AA85" s="49"/>
      <c r="AB85" s="49"/>
      <c r="AC85" s="1268"/>
    </row>
    <row r="86" spans="1:29" ht="15.75" thickBot="1" x14ac:dyDescent="0.3">
      <c r="A86" s="1035">
        <v>77</v>
      </c>
      <c r="B86" s="1035" t="s">
        <v>13</v>
      </c>
      <c r="C86" s="1035" t="s">
        <v>99</v>
      </c>
      <c r="D86" s="1123" t="s">
        <v>364</v>
      </c>
      <c r="E86" s="1092" t="s">
        <v>360</v>
      </c>
      <c r="F86" s="1140"/>
      <c r="G86" s="1140"/>
      <c r="H86" s="1321" t="s">
        <v>16</v>
      </c>
      <c r="I86" s="1029"/>
      <c r="K86" s="783"/>
      <c r="L86" s="812">
        <f>IF(AND(E86=AIS_Yes,E91&lt;&gt;"",E92&lt;&gt;"",E93&lt;&gt;"",E94&lt;&gt;"",E95&lt;&gt;"",E96&lt;&gt;"",E101&lt;&gt;"",E102&lt;&gt;"",E103&lt;&gt;"",E104&lt;&gt;""),1,0)</f>
        <v>0</v>
      </c>
      <c r="M86" s="776"/>
      <c r="N86" s="801"/>
      <c r="O86" s="102" t="s">
        <v>1273</v>
      </c>
      <c r="P86" s="49"/>
      <c r="Q86" s="49"/>
      <c r="R86" s="49"/>
      <c r="S86" s="49"/>
      <c r="T86" s="49"/>
      <c r="U86" s="49" t="str">
        <f>$T$4</f>
        <v>No</v>
      </c>
      <c r="V86" s="49"/>
      <c r="W86" s="49"/>
      <c r="X86" s="49"/>
      <c r="Y86" s="49"/>
      <c r="Z86" s="49"/>
      <c r="AA86" s="49"/>
      <c r="AB86" s="49"/>
      <c r="AC86" s="1268"/>
    </row>
    <row r="87" spans="1:29" x14ac:dyDescent="0.25">
      <c r="A87" s="1035">
        <v>78</v>
      </c>
      <c r="B87" s="1035" t="s">
        <v>13</v>
      </c>
      <c r="C87" s="1035" t="s">
        <v>99</v>
      </c>
      <c r="I87" s="1029"/>
      <c r="K87" s="783"/>
      <c r="L87" s="814"/>
      <c r="M87" s="776"/>
      <c r="N87" s="801"/>
      <c r="O87" s="805"/>
      <c r="P87" s="805"/>
      <c r="Q87" s="805"/>
      <c r="R87" s="805"/>
      <c r="S87" s="805"/>
      <c r="T87" s="805"/>
      <c r="U87" s="805"/>
      <c r="V87" s="805"/>
      <c r="W87" s="805"/>
      <c r="X87" s="805"/>
    </row>
    <row r="88" spans="1:29" ht="15.75" thickBot="1" x14ac:dyDescent="0.3">
      <c r="A88" s="1035">
        <v>79</v>
      </c>
      <c r="B88" s="1035" t="s">
        <v>13</v>
      </c>
      <c r="C88" s="1035" t="s">
        <v>99</v>
      </c>
      <c r="D88" s="1117" t="s">
        <v>1019</v>
      </c>
      <c r="I88" s="1029"/>
      <c r="K88" s="783"/>
      <c r="L88" s="800"/>
      <c r="M88" s="776"/>
      <c r="N88" s="801"/>
    </row>
    <row r="89" spans="1:29" x14ac:dyDescent="0.25">
      <c r="A89" s="1035">
        <v>80</v>
      </c>
      <c r="B89" s="1035" t="s">
        <v>13</v>
      </c>
      <c r="C89" s="1035" t="s">
        <v>99</v>
      </c>
      <c r="D89" s="1119" t="s">
        <v>779</v>
      </c>
      <c r="E89" s="1296"/>
      <c r="F89" s="768" t="s">
        <v>508</v>
      </c>
      <c r="G89" s="1145" t="str">
        <f>IF(AND(E68=AIS_Yes,E83=AIS_Yes,E84=AIS_Yes,KPI_02=""),"If data not available then insert INA (i.e. Indicator not assessed)","")</f>
        <v/>
      </c>
      <c r="I89" s="1029"/>
      <c r="K89" s="783"/>
      <c r="L89" s="800"/>
      <c r="M89" s="776"/>
      <c r="N89" s="801"/>
    </row>
    <row r="90" spans="1:29" x14ac:dyDescent="0.25">
      <c r="A90" s="1035">
        <v>81</v>
      </c>
      <c r="B90" s="1035" t="s">
        <v>13</v>
      </c>
      <c r="C90" s="1035" t="s">
        <v>99</v>
      </c>
      <c r="D90" s="1121" t="s">
        <v>780</v>
      </c>
      <c r="E90" s="1090" t="str">
        <f>IF(KPI_01="","Please add capital cost: Man 02",(IFERROR(KPI_02/(KPI_01*1000000*0.1),"INA")))</f>
        <v>Please add capital cost: Man 02</v>
      </c>
      <c r="F90" s="768" t="s">
        <v>516</v>
      </c>
      <c r="I90" s="1029"/>
      <c r="K90" s="783"/>
      <c r="L90" s="800"/>
      <c r="M90" s="776"/>
      <c r="N90" s="801"/>
    </row>
    <row r="91" spans="1:29" x14ac:dyDescent="0.25">
      <c r="A91" s="1035">
        <v>82</v>
      </c>
      <c r="B91" s="1035" t="s">
        <v>13</v>
      </c>
      <c r="C91" s="1035" t="s">
        <v>99</v>
      </c>
      <c r="D91" s="1121" t="s">
        <v>366</v>
      </c>
      <c r="E91" s="1091"/>
      <c r="F91" s="768" t="s">
        <v>522</v>
      </c>
      <c r="G91" s="1145" t="str">
        <f t="shared" ref="G91:G96" si="0">IF(AND($E$68=AIS_Yes,$E$83=AIS_Yes,$E$86=AIS_Yes,E91=""),"If data not available then insert INA (i.e. Indicator not assessed)","")</f>
        <v/>
      </c>
      <c r="I91" s="1029"/>
      <c r="K91" s="783"/>
      <c r="L91" s="800"/>
      <c r="M91" s="776"/>
      <c r="N91" s="801"/>
    </row>
    <row r="92" spans="1:29" x14ac:dyDescent="0.25">
      <c r="A92" s="1035">
        <v>83</v>
      </c>
      <c r="B92" s="1035" t="s">
        <v>13</v>
      </c>
      <c r="C92" s="1035" t="s">
        <v>99</v>
      </c>
      <c r="D92" s="1121" t="s">
        <v>1016</v>
      </c>
      <c r="E92" s="1091"/>
      <c r="F92" s="768" t="s">
        <v>522</v>
      </c>
      <c r="G92" s="1145" t="str">
        <f t="shared" si="0"/>
        <v/>
      </c>
      <c r="I92" s="1029"/>
      <c r="K92" s="783"/>
      <c r="L92" s="800"/>
      <c r="M92" s="776"/>
      <c r="N92" s="801"/>
    </row>
    <row r="93" spans="1:29" x14ac:dyDescent="0.25">
      <c r="A93" s="1035">
        <v>84</v>
      </c>
      <c r="B93" s="1035" t="s">
        <v>13</v>
      </c>
      <c r="C93" s="1035" t="s">
        <v>99</v>
      </c>
      <c r="D93" s="1121" t="s">
        <v>367</v>
      </c>
      <c r="E93" s="1091"/>
      <c r="F93" s="768" t="s">
        <v>523</v>
      </c>
      <c r="G93" s="1145" t="str">
        <f t="shared" si="0"/>
        <v/>
      </c>
      <c r="I93" s="1029"/>
      <c r="K93" s="783"/>
      <c r="L93" s="800"/>
      <c r="M93" s="776"/>
      <c r="N93" s="801"/>
    </row>
    <row r="94" spans="1:29" x14ac:dyDescent="0.25">
      <c r="A94" s="1035">
        <v>85</v>
      </c>
      <c r="B94" s="1035" t="s">
        <v>13</v>
      </c>
      <c r="C94" s="1035" t="s">
        <v>99</v>
      </c>
      <c r="D94" s="1121" t="s">
        <v>368</v>
      </c>
      <c r="E94" s="1091"/>
      <c r="F94" s="768" t="s">
        <v>523</v>
      </c>
      <c r="G94" s="1145" t="str">
        <f t="shared" si="0"/>
        <v/>
      </c>
      <c r="I94" s="1029"/>
      <c r="K94" s="783"/>
      <c r="L94" s="800"/>
      <c r="M94" s="776"/>
      <c r="N94" s="801"/>
    </row>
    <row r="95" spans="1:29" x14ac:dyDescent="0.25">
      <c r="A95" s="1035">
        <v>86</v>
      </c>
      <c r="B95" s="1035" t="s">
        <v>13</v>
      </c>
      <c r="C95" s="1035" t="s">
        <v>99</v>
      </c>
      <c r="D95" s="1121" t="s">
        <v>369</v>
      </c>
      <c r="E95" s="1091"/>
      <c r="F95" s="768" t="s">
        <v>524</v>
      </c>
      <c r="G95" s="1145" t="str">
        <f t="shared" si="0"/>
        <v/>
      </c>
      <c r="I95" s="1029"/>
      <c r="K95" s="783"/>
      <c r="L95" s="800"/>
      <c r="M95" s="776"/>
      <c r="N95" s="801"/>
    </row>
    <row r="96" spans="1:29" ht="15.75" thickBot="1" x14ac:dyDescent="0.3">
      <c r="A96" s="1035">
        <v>87</v>
      </c>
      <c r="B96" s="1035" t="s">
        <v>13</v>
      </c>
      <c r="C96" s="1035" t="s">
        <v>99</v>
      </c>
      <c r="D96" s="1123" t="s">
        <v>370</v>
      </c>
      <c r="E96" s="1092"/>
      <c r="F96" s="768" t="s">
        <v>524</v>
      </c>
      <c r="G96" s="1145" t="str">
        <f t="shared" si="0"/>
        <v/>
      </c>
      <c r="I96" s="1029"/>
      <c r="K96" s="783"/>
      <c r="L96" s="800"/>
      <c r="M96" s="776"/>
      <c r="N96" s="801"/>
    </row>
    <row r="97" spans="1:24" x14ac:dyDescent="0.25">
      <c r="A97" s="1035">
        <v>88</v>
      </c>
      <c r="B97" s="1035" t="s">
        <v>13</v>
      </c>
      <c r="C97" s="1035" t="s">
        <v>99</v>
      </c>
      <c r="I97" s="1029"/>
      <c r="K97" s="783"/>
      <c r="L97" s="800"/>
      <c r="M97" s="776"/>
      <c r="N97" s="801"/>
    </row>
    <row r="98" spans="1:24" ht="15.75" thickBot="1" x14ac:dyDescent="0.3">
      <c r="A98" s="1035">
        <v>89</v>
      </c>
      <c r="B98" s="1035" t="s">
        <v>13</v>
      </c>
      <c r="C98" s="1035" t="s">
        <v>99</v>
      </c>
      <c r="D98" s="1117" t="s">
        <v>371</v>
      </c>
      <c r="E98" s="1118"/>
      <c r="I98" s="1029"/>
      <c r="K98" s="783"/>
      <c r="L98" s="800"/>
      <c r="M98" s="776"/>
      <c r="N98" s="801"/>
    </row>
    <row r="99" spans="1:24" x14ac:dyDescent="0.25">
      <c r="A99" s="1035">
        <v>90</v>
      </c>
      <c r="B99" s="1035" t="s">
        <v>13</v>
      </c>
      <c r="C99" s="1035" t="s">
        <v>99</v>
      </c>
      <c r="D99" s="1119" t="s">
        <v>781</v>
      </c>
      <c r="E99" s="1093"/>
      <c r="F99" s="768" t="s">
        <v>525</v>
      </c>
      <c r="G99" s="1145" t="str">
        <f>IF(AND(E68=AIS_Yes,E83=AIS_Yes,E84=AIS_Yes,KPI_10=""),"If data not available then insert INA (i.e. Indicator not assessed)","")</f>
        <v/>
      </c>
      <c r="I99" s="1029"/>
      <c r="K99" s="783"/>
      <c r="L99" s="800"/>
      <c r="M99" s="776"/>
      <c r="N99" s="801"/>
    </row>
    <row r="100" spans="1:24" x14ac:dyDescent="0.25">
      <c r="A100" s="1035">
        <v>91</v>
      </c>
      <c r="B100" s="1035" t="s">
        <v>13</v>
      </c>
      <c r="C100" s="1035" t="s">
        <v>99</v>
      </c>
      <c r="D100" s="1121" t="s">
        <v>782</v>
      </c>
      <c r="E100" s="1090" t="str">
        <f>IF(KPI_01="","Please add capital cost: Man 02",(IFERROR(KPI_10/(KPI_01*1000000*0.1),"INA")))</f>
        <v>Please add capital cost: Man 02</v>
      </c>
      <c r="F100" s="768" t="s">
        <v>1015</v>
      </c>
      <c r="I100" s="1029"/>
      <c r="K100" s="783"/>
      <c r="L100" s="800"/>
      <c r="M100" s="776"/>
      <c r="N100" s="801"/>
    </row>
    <row r="101" spans="1:24" x14ac:dyDescent="0.25">
      <c r="A101" s="1035">
        <v>92</v>
      </c>
      <c r="B101" s="1035" t="s">
        <v>13</v>
      </c>
      <c r="C101" s="1035" t="s">
        <v>99</v>
      </c>
      <c r="D101" s="1121" t="s">
        <v>372</v>
      </c>
      <c r="E101" s="1091"/>
      <c r="F101" s="768" t="s">
        <v>525</v>
      </c>
      <c r="G101" s="1145" t="str">
        <f>IF(AND($E$68=AIS_Yes,$E$83=AIS_Yes,$E$86=AIS_Yes,E101=""),"If data not available then insert INA (i.e. Indicator not assessed)","")</f>
        <v/>
      </c>
      <c r="I101" s="1029"/>
      <c r="K101" s="783"/>
      <c r="L101" s="800"/>
      <c r="M101" s="776"/>
      <c r="N101" s="801"/>
    </row>
    <row r="102" spans="1:24" x14ac:dyDescent="0.25">
      <c r="A102" s="1035">
        <v>93</v>
      </c>
      <c r="B102" s="1035" t="s">
        <v>13</v>
      </c>
      <c r="C102" s="1035" t="s">
        <v>99</v>
      </c>
      <c r="D102" s="1121" t="s">
        <v>373</v>
      </c>
      <c r="E102" s="1091"/>
      <c r="F102" s="768" t="s">
        <v>525</v>
      </c>
      <c r="G102" s="1145" t="str">
        <f>IF(AND($E$68=AIS_Yes,$E$83=AIS_Yes,$E$86=AIS_Yes,E102=""),"If data not available then insert INA (i.e. Indicator not assessed)","")</f>
        <v/>
      </c>
      <c r="I102" s="1029"/>
      <c r="K102" s="783"/>
      <c r="L102" s="800"/>
      <c r="M102" s="776"/>
      <c r="N102" s="801"/>
    </row>
    <row r="103" spans="1:24" x14ac:dyDescent="0.25">
      <c r="A103" s="1035">
        <v>94</v>
      </c>
      <c r="B103" s="1035" t="s">
        <v>13</v>
      </c>
      <c r="C103" s="1035" t="s">
        <v>99</v>
      </c>
      <c r="D103" s="1121" t="s">
        <v>374</v>
      </c>
      <c r="E103" s="1094" t="str">
        <f>IF(KPI_04="","Please add transport to site",(IFERROR(KPI_12/(KPI_04),"INA")))</f>
        <v>Please add transport to site</v>
      </c>
      <c r="F103" s="768" t="s">
        <v>527</v>
      </c>
      <c r="I103" s="1029"/>
      <c r="K103" s="783"/>
      <c r="L103" s="800"/>
      <c r="M103" s="776"/>
      <c r="N103" s="801"/>
    </row>
    <row r="104" spans="1:24" ht="15.75" thickBot="1" x14ac:dyDescent="0.3">
      <c r="A104" s="1035">
        <v>95</v>
      </c>
      <c r="B104" s="1035" t="s">
        <v>13</v>
      </c>
      <c r="C104" s="1035" t="s">
        <v>99</v>
      </c>
      <c r="D104" s="1123" t="s">
        <v>375</v>
      </c>
      <c r="E104" s="1095" t="str">
        <f>IF(KPI_05="","Please add transport from site",(IFERROR(KPI_13/(KPI_05),"INA")))</f>
        <v>Please add transport from site</v>
      </c>
      <c r="F104" s="768" t="s">
        <v>527</v>
      </c>
      <c r="I104" s="1029"/>
      <c r="K104" s="783"/>
      <c r="L104" s="800"/>
      <c r="M104" s="776"/>
      <c r="N104" s="801"/>
    </row>
    <row r="105" spans="1:24" x14ac:dyDescent="0.25">
      <c r="A105" s="1035">
        <v>96</v>
      </c>
      <c r="B105" s="1035" t="s">
        <v>13</v>
      </c>
      <c r="C105" s="1035" t="s">
        <v>99</v>
      </c>
      <c r="I105" s="1029"/>
      <c r="K105" s="783"/>
      <c r="L105" s="800"/>
      <c r="M105" s="776"/>
      <c r="N105" s="801"/>
    </row>
    <row r="106" spans="1:24" ht="15.75" thickBot="1" x14ac:dyDescent="0.3">
      <c r="A106" s="1035">
        <v>97</v>
      </c>
      <c r="B106" s="1035" t="s">
        <v>13</v>
      </c>
      <c r="C106" s="1035" t="s">
        <v>99</v>
      </c>
      <c r="D106" s="1117" t="s">
        <v>376</v>
      </c>
      <c r="E106" s="1118"/>
      <c r="I106" s="1029"/>
      <c r="K106" s="783"/>
      <c r="L106" s="800"/>
      <c r="M106" s="776"/>
      <c r="N106" s="801"/>
    </row>
    <row r="107" spans="1:24" x14ac:dyDescent="0.25">
      <c r="A107" s="1035">
        <v>98</v>
      </c>
      <c r="B107" s="1035" t="s">
        <v>13</v>
      </c>
      <c r="C107" s="1035" t="s">
        <v>99</v>
      </c>
      <c r="D107" s="1119" t="s">
        <v>1014</v>
      </c>
      <c r="E107" s="1093"/>
      <c r="F107" s="768" t="s">
        <v>528</v>
      </c>
      <c r="G107" s="1145" t="str">
        <f>IF(AND(E68=AIS_Yes,E83=AIS_Yes,E85=AIS_Yes,KPI_16=""),"If data not available then insert INA (i.e. Indicator not assessed)","")</f>
        <v/>
      </c>
      <c r="I107" s="1029"/>
      <c r="K107" s="783"/>
      <c r="L107" s="800"/>
      <c r="M107" s="776"/>
      <c r="N107" s="801"/>
    </row>
    <row r="108" spans="1:24" ht="15.75" thickBot="1" x14ac:dyDescent="0.3">
      <c r="A108" s="1035">
        <v>99</v>
      </c>
      <c r="B108" s="1035" t="s">
        <v>13</v>
      </c>
      <c r="C108" s="1035" t="s">
        <v>99</v>
      </c>
      <c r="D108" s="1123" t="s">
        <v>377</v>
      </c>
      <c r="E108" s="1096" t="str">
        <f>IF(KPI_01="","Please add capital cost: Man 02",(IFERROR(KPI_16/(KPI_01*1000000*0.1),"INA")))</f>
        <v>Please add capital cost: Man 02</v>
      </c>
      <c r="F108" s="768" t="s">
        <v>529</v>
      </c>
      <c r="I108" s="1029"/>
      <c r="K108" s="783"/>
      <c r="L108" s="800"/>
      <c r="M108" s="776"/>
      <c r="N108" s="801"/>
    </row>
    <row r="109" spans="1:24" x14ac:dyDescent="0.25">
      <c r="A109" s="1035">
        <v>100</v>
      </c>
      <c r="B109" s="1035" t="s">
        <v>13</v>
      </c>
      <c r="C109" s="1035" t="s">
        <v>99</v>
      </c>
      <c r="I109" s="1029"/>
      <c r="K109" s="783"/>
      <c r="L109" s="800"/>
      <c r="M109" s="776"/>
      <c r="N109" s="801"/>
    </row>
    <row r="110" spans="1:24" x14ac:dyDescent="0.25">
      <c r="A110" s="1035">
        <v>101</v>
      </c>
      <c r="B110" s="1035" t="s">
        <v>13</v>
      </c>
      <c r="C110" s="1035" t="s">
        <v>99</v>
      </c>
      <c r="D110" s="1127" t="s">
        <v>356</v>
      </c>
      <c r="E110" s="1128">
        <f>IF(E68=AIS_No,0,G72+G76+G79+G83)</f>
        <v>0</v>
      </c>
      <c r="F110" s="1148"/>
      <c r="I110" s="1029"/>
      <c r="K110" s="783"/>
      <c r="L110" s="800"/>
      <c r="M110" s="776"/>
      <c r="N110" s="801"/>
      <c r="O110" s="805"/>
      <c r="P110" s="805"/>
      <c r="Q110" s="805"/>
      <c r="R110" s="805"/>
      <c r="S110" s="805"/>
      <c r="T110" s="805"/>
      <c r="U110" s="805"/>
      <c r="V110" s="805"/>
      <c r="W110" s="805"/>
      <c r="X110" s="805"/>
    </row>
    <row r="111" spans="1:24" x14ac:dyDescent="0.25">
      <c r="A111" s="1035">
        <v>102</v>
      </c>
      <c r="B111" s="1035" t="s">
        <v>13</v>
      </c>
      <c r="C111" s="1035" t="s">
        <v>99</v>
      </c>
      <c r="D111" s="1129" t="s">
        <v>86</v>
      </c>
      <c r="E111" s="1130">
        <f>Man03_18</f>
        <v>0</v>
      </c>
      <c r="I111" s="1029"/>
      <c r="K111" s="783"/>
      <c r="L111" s="800"/>
      <c r="M111" s="776"/>
      <c r="N111" s="801"/>
      <c r="O111" s="805"/>
      <c r="P111" s="805"/>
      <c r="Q111" s="805"/>
      <c r="R111" s="805"/>
      <c r="S111" s="805"/>
      <c r="T111" s="805"/>
      <c r="U111" s="805"/>
      <c r="V111" s="805"/>
      <c r="W111" s="805"/>
      <c r="X111" s="805"/>
    </row>
    <row r="112" spans="1:24" x14ac:dyDescent="0.25">
      <c r="A112" s="1035">
        <v>103</v>
      </c>
      <c r="B112" s="1035" t="s">
        <v>13</v>
      </c>
      <c r="C112" s="1035" t="s">
        <v>99</v>
      </c>
      <c r="D112" s="1131" t="s">
        <v>357</v>
      </c>
      <c r="E112" s="1128" t="s">
        <v>16</v>
      </c>
      <c r="I112" s="1029"/>
      <c r="K112" s="783"/>
      <c r="L112" s="800"/>
      <c r="M112" s="776"/>
      <c r="N112" s="801"/>
      <c r="O112" s="805"/>
      <c r="P112" s="805"/>
      <c r="Q112" s="805"/>
      <c r="R112" s="805"/>
      <c r="S112" s="805"/>
      <c r="T112" s="805"/>
      <c r="U112" s="805"/>
      <c r="V112" s="805"/>
      <c r="W112" s="805"/>
      <c r="X112" s="805"/>
    </row>
    <row r="113" spans="1:24" x14ac:dyDescent="0.25">
      <c r="A113" s="1035">
        <v>104</v>
      </c>
      <c r="B113" s="1035" t="s">
        <v>13</v>
      </c>
      <c r="C113" s="1035" t="s">
        <v>99</v>
      </c>
      <c r="D113" s="1132" t="s">
        <v>55</v>
      </c>
      <c r="E113" s="1133" t="str">
        <f>Man03_minstd</f>
        <v>Very Good</v>
      </c>
      <c r="F113" s="1134"/>
      <c r="G113" s="1135"/>
      <c r="I113" s="1029"/>
      <c r="K113" s="783"/>
      <c r="L113" s="800"/>
      <c r="M113" s="776"/>
      <c r="N113" s="801"/>
      <c r="O113" s="805"/>
      <c r="P113" s="805"/>
      <c r="Q113" s="805"/>
      <c r="R113" s="805"/>
      <c r="S113" s="805"/>
      <c r="T113" s="805"/>
      <c r="U113" s="805"/>
      <c r="V113" s="805"/>
      <c r="W113" s="805"/>
      <c r="X113" s="805"/>
    </row>
    <row r="114" spans="1:24" x14ac:dyDescent="0.25">
      <c r="A114" s="1035">
        <v>105</v>
      </c>
      <c r="B114" s="1035" t="s">
        <v>13</v>
      </c>
      <c r="C114" s="1035" t="s">
        <v>99</v>
      </c>
      <c r="I114" s="1029"/>
      <c r="K114" s="783"/>
      <c r="L114" s="800"/>
      <c r="M114" s="776"/>
      <c r="N114" s="801"/>
      <c r="O114" s="805"/>
      <c r="P114" s="805"/>
      <c r="Q114" s="805"/>
      <c r="R114" s="805"/>
      <c r="S114" s="805"/>
      <c r="T114" s="805"/>
      <c r="U114" s="805"/>
      <c r="V114" s="805"/>
      <c r="W114" s="805"/>
      <c r="X114" s="805"/>
    </row>
    <row r="115" spans="1:24" x14ac:dyDescent="0.25">
      <c r="A115" s="1035">
        <v>106</v>
      </c>
      <c r="B115" s="1035" t="s">
        <v>13</v>
      </c>
      <c r="C115" s="1035" t="s">
        <v>99</v>
      </c>
      <c r="D115" s="1136" t="s">
        <v>359</v>
      </c>
      <c r="E115" s="1136" t="s">
        <v>977</v>
      </c>
      <c r="F115" s="1136" t="str">
        <f>HLOOKUP(C115,'Assessment References'!$H$512:$BG$513,2,FALSE)</f>
        <v/>
      </c>
      <c r="G115" s="1137"/>
      <c r="H115" s="1138"/>
      <c r="I115" s="1029"/>
      <c r="K115" s="783"/>
      <c r="L115" s="800"/>
      <c r="M115" s="776"/>
      <c r="N115" s="801"/>
      <c r="O115" s="805"/>
      <c r="P115" s="805"/>
      <c r="Q115" s="805"/>
      <c r="R115" s="805"/>
      <c r="S115" s="805"/>
      <c r="T115" s="805"/>
      <c r="U115" s="805"/>
      <c r="V115" s="805"/>
      <c r="W115" s="805"/>
      <c r="X115" s="805"/>
    </row>
    <row r="116" spans="1:24" x14ac:dyDescent="0.25">
      <c r="A116" s="1035">
        <v>107</v>
      </c>
      <c r="B116" s="1035" t="s">
        <v>13</v>
      </c>
      <c r="C116" s="1035" t="s">
        <v>99</v>
      </c>
      <c r="D116" s="1363"/>
      <c r="E116" s="1352"/>
      <c r="F116" s="1352"/>
      <c r="G116" s="1352"/>
      <c r="H116" s="1353"/>
      <c r="I116" s="1029"/>
      <c r="K116" s="783"/>
      <c r="L116" s="800"/>
      <c r="M116" s="776"/>
      <c r="N116" s="801"/>
      <c r="O116" s="805"/>
      <c r="P116" s="805"/>
      <c r="Q116" s="805"/>
      <c r="R116" s="805"/>
      <c r="S116" s="805"/>
      <c r="T116" s="805"/>
      <c r="U116" s="805"/>
      <c r="V116" s="805"/>
      <c r="W116" s="805"/>
      <c r="X116" s="805"/>
    </row>
    <row r="117" spans="1:24" x14ac:dyDescent="0.25">
      <c r="A117" s="1035">
        <v>108</v>
      </c>
      <c r="B117" s="1035" t="s">
        <v>13</v>
      </c>
      <c r="C117" s="1035" t="s">
        <v>99</v>
      </c>
      <c r="D117" s="1354"/>
      <c r="E117" s="1355"/>
      <c r="F117" s="1355"/>
      <c r="G117" s="1355"/>
      <c r="H117" s="1356"/>
      <c r="I117" s="1029"/>
      <c r="K117" s="783"/>
      <c r="L117" s="800"/>
      <c r="M117" s="776"/>
      <c r="N117" s="801"/>
      <c r="O117" s="805"/>
      <c r="P117" s="805"/>
      <c r="Q117" s="805"/>
      <c r="R117" s="805"/>
      <c r="S117" s="805"/>
      <c r="T117" s="805"/>
      <c r="U117" s="805"/>
      <c r="V117" s="805"/>
      <c r="W117" s="805"/>
      <c r="X117" s="805"/>
    </row>
    <row r="118" spans="1:24" x14ac:dyDescent="0.25">
      <c r="A118" s="1035">
        <v>109</v>
      </c>
      <c r="B118" s="1035" t="s">
        <v>13</v>
      </c>
      <c r="C118" s="1035" t="s">
        <v>99</v>
      </c>
      <c r="D118" s="1354"/>
      <c r="E118" s="1355"/>
      <c r="F118" s="1355"/>
      <c r="G118" s="1355"/>
      <c r="H118" s="1356"/>
      <c r="I118" s="1029"/>
      <c r="K118" s="783"/>
      <c r="L118" s="800"/>
      <c r="M118" s="776"/>
      <c r="N118" s="801"/>
      <c r="O118" s="805"/>
      <c r="P118" s="805"/>
      <c r="Q118" s="805"/>
      <c r="R118" s="805"/>
      <c r="S118" s="805"/>
      <c r="T118" s="805"/>
      <c r="U118" s="805"/>
      <c r="V118" s="805"/>
      <c r="W118" s="805"/>
      <c r="X118" s="805"/>
    </row>
    <row r="119" spans="1:24" x14ac:dyDescent="0.25">
      <c r="A119" s="1035">
        <v>110</v>
      </c>
      <c r="B119" s="1035" t="s">
        <v>13</v>
      </c>
      <c r="C119" s="1035" t="s">
        <v>99</v>
      </c>
      <c r="D119" s="1364"/>
      <c r="E119" s="1358"/>
      <c r="F119" s="1358"/>
      <c r="G119" s="1358"/>
      <c r="H119" s="1359"/>
      <c r="I119" s="1029"/>
      <c r="K119" s="783"/>
      <c r="L119" s="800"/>
      <c r="M119" s="776"/>
      <c r="N119" s="801"/>
      <c r="O119" s="805"/>
      <c r="P119" s="805"/>
      <c r="Q119" s="805"/>
      <c r="R119" s="805"/>
      <c r="S119" s="805"/>
      <c r="T119" s="805"/>
      <c r="U119" s="805"/>
      <c r="V119" s="805"/>
      <c r="W119" s="805"/>
      <c r="X119" s="805"/>
    </row>
    <row r="120" spans="1:24" x14ac:dyDescent="0.25">
      <c r="A120" s="1035">
        <v>111</v>
      </c>
      <c r="B120" s="1035" t="s">
        <v>13</v>
      </c>
      <c r="C120" s="1035" t="s">
        <v>99</v>
      </c>
      <c r="D120" s="1364"/>
      <c r="E120" s="1358"/>
      <c r="F120" s="1358"/>
      <c r="G120" s="1358"/>
      <c r="H120" s="1359"/>
      <c r="I120" s="1029"/>
      <c r="K120" s="783"/>
      <c r="L120" s="800"/>
      <c r="M120" s="776"/>
      <c r="N120" s="801"/>
      <c r="O120" s="805"/>
      <c r="P120" s="805"/>
      <c r="Q120" s="805"/>
      <c r="R120" s="805"/>
      <c r="S120" s="805"/>
      <c r="T120" s="805"/>
      <c r="U120" s="805"/>
      <c r="V120" s="805"/>
      <c r="W120" s="805"/>
      <c r="X120" s="805"/>
    </row>
    <row r="121" spans="1:24" x14ac:dyDescent="0.25">
      <c r="A121" s="1035">
        <v>112</v>
      </c>
      <c r="B121" s="1035" t="s">
        <v>13</v>
      </c>
      <c r="C121" s="1035" t="s">
        <v>99</v>
      </c>
      <c r="D121" s="1360"/>
      <c r="E121" s="1361"/>
      <c r="F121" s="1361"/>
      <c r="G121" s="1361"/>
      <c r="H121" s="1362"/>
      <c r="I121" s="1029"/>
      <c r="K121" s="783"/>
      <c r="L121" s="800"/>
      <c r="M121" s="776"/>
      <c r="N121" s="801"/>
      <c r="O121" s="805"/>
      <c r="P121" s="805"/>
      <c r="Q121" s="805"/>
      <c r="R121" s="805"/>
      <c r="S121" s="805"/>
      <c r="T121" s="805"/>
      <c r="U121" s="805"/>
      <c r="V121" s="805"/>
      <c r="W121" s="805"/>
      <c r="X121" s="805"/>
    </row>
    <row r="122" spans="1:24" ht="15.75" thickBot="1" x14ac:dyDescent="0.3">
      <c r="A122" s="1035">
        <v>113</v>
      </c>
      <c r="B122" s="1035" t="s">
        <v>13</v>
      </c>
      <c r="C122" s="1035" t="s">
        <v>99</v>
      </c>
      <c r="I122" s="1029"/>
      <c r="K122" s="783"/>
      <c r="L122" s="800"/>
      <c r="M122" s="776"/>
      <c r="N122" s="801"/>
      <c r="O122" s="805"/>
      <c r="P122" s="805"/>
      <c r="Q122" s="805"/>
      <c r="R122" s="805"/>
      <c r="S122" s="805"/>
      <c r="T122" s="805"/>
      <c r="U122" s="805"/>
      <c r="V122" s="805"/>
      <c r="W122" s="805"/>
      <c r="X122" s="805"/>
    </row>
    <row r="123" spans="1:24" ht="15.75" thickBot="1" x14ac:dyDescent="0.3">
      <c r="A123" s="1037">
        <v>114</v>
      </c>
      <c r="B123" s="1037" t="s">
        <v>13</v>
      </c>
      <c r="C123" s="802" t="s">
        <v>100</v>
      </c>
      <c r="D123" s="1103" t="s">
        <v>1176</v>
      </c>
      <c r="E123" s="1104"/>
      <c r="F123" s="1104"/>
      <c r="G123" s="1105"/>
      <c r="H123" s="1106"/>
      <c r="I123" s="1029"/>
      <c r="K123" s="783"/>
      <c r="L123" s="804" t="str">
        <f>C123</f>
        <v>Man 04</v>
      </c>
      <c r="M123" s="776"/>
      <c r="N123" s="801"/>
      <c r="O123" s="805"/>
      <c r="P123" s="805"/>
      <c r="Q123" s="805"/>
      <c r="R123" s="805"/>
      <c r="S123" s="805"/>
      <c r="T123" s="805"/>
      <c r="U123" s="805"/>
      <c r="V123" s="805"/>
      <c r="W123" s="805"/>
      <c r="X123" s="805"/>
    </row>
    <row r="124" spans="1:24" x14ac:dyDescent="0.25">
      <c r="A124" s="1035">
        <v>115</v>
      </c>
      <c r="B124" s="1035" t="s">
        <v>13</v>
      </c>
      <c r="C124" s="1035" t="s">
        <v>100</v>
      </c>
      <c r="D124" s="1107" t="s">
        <v>17</v>
      </c>
      <c r="E124" s="1108">
        <f>Man04_credits</f>
        <v>3</v>
      </c>
      <c r="F124" s="1109"/>
      <c r="G124" s="1110" t="s">
        <v>85</v>
      </c>
      <c r="H124" s="1111">
        <f>Man04_17</f>
        <v>1.8000000000000002E-2</v>
      </c>
      <c r="I124" s="1029"/>
      <c r="K124" s="783"/>
      <c r="L124" s="800"/>
      <c r="M124" s="776"/>
      <c r="N124" s="801"/>
      <c r="O124" s="805"/>
      <c r="P124" s="805"/>
      <c r="Q124" s="805"/>
      <c r="R124" s="805"/>
      <c r="S124" s="805"/>
      <c r="T124" s="805"/>
      <c r="U124" s="805"/>
      <c r="V124" s="805"/>
      <c r="W124" s="805"/>
      <c r="X124" s="805"/>
    </row>
    <row r="125" spans="1:24" ht="15.75" thickBot="1" x14ac:dyDescent="0.3">
      <c r="A125" s="1035">
        <v>116</v>
      </c>
      <c r="B125" s="1035" t="s">
        <v>13</v>
      </c>
      <c r="C125" s="1035" t="s">
        <v>100</v>
      </c>
      <c r="D125" s="1112" t="s">
        <v>349</v>
      </c>
      <c r="E125" s="1113">
        <v>0</v>
      </c>
      <c r="F125" s="1114"/>
      <c r="G125" s="1115" t="s">
        <v>350</v>
      </c>
      <c r="H125" s="1116" t="s">
        <v>14</v>
      </c>
      <c r="I125" s="1029"/>
      <c r="K125" s="783"/>
      <c r="L125" s="800"/>
      <c r="M125" s="776"/>
      <c r="N125" s="801"/>
      <c r="O125" s="805"/>
      <c r="P125" s="805"/>
      <c r="Q125" s="805"/>
      <c r="R125" s="805"/>
      <c r="S125" s="805"/>
      <c r="T125" s="805"/>
      <c r="U125" s="805"/>
      <c r="V125" s="805"/>
      <c r="W125" s="805"/>
      <c r="X125" s="805"/>
    </row>
    <row r="126" spans="1:24" x14ac:dyDescent="0.25">
      <c r="A126" s="1035">
        <v>117</v>
      </c>
      <c r="B126" s="1035" t="s">
        <v>13</v>
      </c>
      <c r="C126" s="1035" t="s">
        <v>100</v>
      </c>
      <c r="I126" s="1029"/>
      <c r="K126" s="783"/>
      <c r="L126" s="810" t="s">
        <v>784</v>
      </c>
      <c r="M126" s="776"/>
      <c r="N126" s="801"/>
      <c r="O126" s="805"/>
      <c r="P126" s="805"/>
      <c r="Q126" s="805"/>
      <c r="R126" s="805"/>
      <c r="S126" s="805"/>
      <c r="T126" s="805"/>
      <c r="U126" s="805"/>
      <c r="V126" s="805"/>
      <c r="W126" s="805"/>
      <c r="X126" s="805"/>
    </row>
    <row r="127" spans="1:24" ht="15.75" thickBot="1" x14ac:dyDescent="0.3">
      <c r="A127" s="1035">
        <v>118</v>
      </c>
      <c r="B127" s="1035" t="s">
        <v>13</v>
      </c>
      <c r="C127" s="1035" t="s">
        <v>100</v>
      </c>
      <c r="D127" s="1117" t="s">
        <v>351</v>
      </c>
      <c r="E127" s="1118" t="s">
        <v>352</v>
      </c>
      <c r="F127" s="1118" t="s">
        <v>353</v>
      </c>
      <c r="G127" s="1118" t="s">
        <v>354</v>
      </c>
      <c r="H127" s="1118" t="s">
        <v>355</v>
      </c>
      <c r="I127" s="1029"/>
      <c r="K127" s="783"/>
      <c r="L127" s="817">
        <f>G128</f>
        <v>0</v>
      </c>
      <c r="M127" s="776"/>
      <c r="N127" s="801"/>
      <c r="O127" s="805"/>
      <c r="P127" s="805"/>
      <c r="Q127" s="805"/>
      <c r="R127" s="805"/>
      <c r="S127" s="805"/>
      <c r="T127" s="805"/>
      <c r="U127" s="805"/>
      <c r="V127" s="805"/>
      <c r="W127" s="805"/>
      <c r="X127" s="805"/>
    </row>
    <row r="128" spans="1:24" ht="15.75" thickBot="1" x14ac:dyDescent="0.3">
      <c r="A128" s="1035">
        <v>119</v>
      </c>
      <c r="B128" s="1035" t="s">
        <v>13</v>
      </c>
      <c r="C128" s="1035" t="s">
        <v>100</v>
      </c>
      <c r="D128" s="1119" t="s">
        <v>783</v>
      </c>
      <c r="E128" s="1093" t="s">
        <v>360</v>
      </c>
      <c r="F128" s="1120">
        <v>1</v>
      </c>
      <c r="G128" s="1120">
        <f>IF(E128=AIS_Yes,F128,0)</f>
        <v>0</v>
      </c>
      <c r="H128" s="1317" t="s">
        <v>16</v>
      </c>
      <c r="I128" s="1029"/>
      <c r="K128" s="783"/>
      <c r="L128" s="800"/>
      <c r="M128" s="776"/>
      <c r="N128" s="801"/>
      <c r="O128" s="102" t="s">
        <v>1273</v>
      </c>
      <c r="P128" s="49"/>
      <c r="Q128" s="49"/>
      <c r="R128" s="49"/>
      <c r="S128" s="49"/>
      <c r="T128" s="49"/>
      <c r="U128" s="49" t="str">
        <f>$T$4</f>
        <v>No</v>
      </c>
      <c r="V128" s="805"/>
      <c r="W128" s="805"/>
      <c r="X128" s="805"/>
    </row>
    <row r="129" spans="1:24" x14ac:dyDescent="0.25">
      <c r="A129" s="1035">
        <v>120</v>
      </c>
      <c r="B129" s="1035" t="s">
        <v>13</v>
      </c>
      <c r="C129" s="1035" t="s">
        <v>100</v>
      </c>
      <c r="D129" s="1121" t="s">
        <v>786</v>
      </c>
      <c r="E129" s="1091" t="s">
        <v>360</v>
      </c>
      <c r="F129" s="1122">
        <v>1</v>
      </c>
      <c r="G129" s="1122">
        <f>IF(E129=AIS_Yes,F129,0)</f>
        <v>0</v>
      </c>
      <c r="H129" s="1318" t="s">
        <v>16</v>
      </c>
      <c r="I129" s="1029"/>
      <c r="K129" s="783"/>
      <c r="L129" s="810" t="s">
        <v>785</v>
      </c>
      <c r="M129" s="776"/>
      <c r="N129" s="801"/>
      <c r="O129" s="102" t="s">
        <v>1273</v>
      </c>
      <c r="P129" s="49"/>
      <c r="Q129" s="49"/>
      <c r="R129" s="49"/>
      <c r="S129" s="49"/>
      <c r="T129" s="49"/>
      <c r="U129" s="49" t="str">
        <f>$T$4</f>
        <v>No</v>
      </c>
      <c r="V129" s="805"/>
      <c r="W129" s="805"/>
      <c r="X129" s="805"/>
    </row>
    <row r="130" spans="1:24" ht="15.75" thickBot="1" x14ac:dyDescent="0.3">
      <c r="A130" s="1035">
        <v>121</v>
      </c>
      <c r="B130" s="1035" t="s">
        <v>13</v>
      </c>
      <c r="C130" s="1035" t="s">
        <v>100</v>
      </c>
      <c r="D130" s="1123" t="s">
        <v>787</v>
      </c>
      <c r="E130" s="1092" t="s">
        <v>360</v>
      </c>
      <c r="F130" s="1124">
        <v>1</v>
      </c>
      <c r="G130" s="1124">
        <f>IF(E130=AIS_Yes,F130,0)</f>
        <v>0</v>
      </c>
      <c r="H130" s="1319" t="s">
        <v>16</v>
      </c>
      <c r="I130" s="1029"/>
      <c r="K130" s="783"/>
      <c r="L130" s="817">
        <f>G130</f>
        <v>0</v>
      </c>
      <c r="M130" s="776"/>
      <c r="N130" s="801"/>
      <c r="O130" s="102" t="s">
        <v>1273</v>
      </c>
      <c r="P130" s="49"/>
      <c r="Q130" s="49"/>
      <c r="R130" s="49"/>
      <c r="S130" s="49"/>
      <c r="T130" s="49"/>
      <c r="U130" s="49" t="str">
        <f>$T$4</f>
        <v>No</v>
      </c>
      <c r="V130" s="805"/>
      <c r="W130" s="805"/>
      <c r="X130" s="805"/>
    </row>
    <row r="131" spans="1:24" ht="15.75" thickBot="1" x14ac:dyDescent="0.3">
      <c r="A131" s="1035">
        <v>122</v>
      </c>
      <c r="B131" s="1035" t="s">
        <v>13</v>
      </c>
      <c r="C131" s="1035" t="s">
        <v>100</v>
      </c>
      <c r="I131" s="1029"/>
      <c r="K131" s="783"/>
      <c r="L131" s="819"/>
      <c r="M131" s="776"/>
      <c r="N131" s="801"/>
      <c r="O131" s="805"/>
      <c r="P131" s="805"/>
      <c r="Q131" s="805"/>
      <c r="R131" s="805"/>
      <c r="S131" s="805"/>
      <c r="T131" s="805"/>
      <c r="U131" s="805"/>
      <c r="V131" s="805"/>
      <c r="W131" s="805"/>
      <c r="X131" s="805"/>
    </row>
    <row r="132" spans="1:24" ht="15.75" thickBot="1" x14ac:dyDescent="0.3">
      <c r="A132" s="1035">
        <v>123</v>
      </c>
      <c r="B132" s="1035" t="s">
        <v>13</v>
      </c>
      <c r="C132" s="1035" t="s">
        <v>100</v>
      </c>
      <c r="D132" s="1127" t="s">
        <v>356</v>
      </c>
      <c r="E132" s="1128">
        <f>IF((G128+G129+G130)&gt;E124,E124,G128+G129+G130)</f>
        <v>0</v>
      </c>
      <c r="I132" s="1029"/>
      <c r="K132" s="783"/>
      <c r="L132" s="815">
        <f>IF(E132=E124,E124,IF(AND(L127=F128,L130=F130),2,IF(L127=F128,1,0)))</f>
        <v>0</v>
      </c>
      <c r="M132" s="776"/>
      <c r="N132" s="801"/>
      <c r="O132" s="805"/>
      <c r="P132" s="805"/>
      <c r="Q132" s="805"/>
      <c r="R132" s="805"/>
      <c r="S132" s="805"/>
      <c r="T132" s="805"/>
      <c r="U132" s="805"/>
      <c r="V132" s="805"/>
      <c r="W132" s="805"/>
      <c r="X132" s="805"/>
    </row>
    <row r="133" spans="1:24" x14ac:dyDescent="0.25">
      <c r="A133" s="1035">
        <v>124</v>
      </c>
      <c r="B133" s="1035" t="s">
        <v>13</v>
      </c>
      <c r="C133" s="1035" t="s">
        <v>100</v>
      </c>
      <c r="D133" s="1129" t="s">
        <v>86</v>
      </c>
      <c r="E133" s="1130">
        <f>Man04_cont</f>
        <v>0</v>
      </c>
      <c r="I133" s="1029"/>
      <c r="K133" s="783"/>
      <c r="L133" s="814"/>
      <c r="M133" s="776"/>
      <c r="N133" s="801"/>
      <c r="O133" s="805"/>
      <c r="P133" s="805"/>
      <c r="Q133" s="805"/>
      <c r="R133" s="805"/>
      <c r="S133" s="805"/>
      <c r="T133" s="805"/>
      <c r="U133" s="805"/>
      <c r="V133" s="805"/>
      <c r="W133" s="805"/>
      <c r="X133" s="805"/>
    </row>
    <row r="134" spans="1:24" x14ac:dyDescent="0.25">
      <c r="A134" s="1035">
        <v>125</v>
      </c>
      <c r="B134" s="1035" t="s">
        <v>13</v>
      </c>
      <c r="C134" s="1035" t="s">
        <v>100</v>
      </c>
      <c r="D134" s="1131" t="s">
        <v>357</v>
      </c>
      <c r="E134" s="1128" t="s">
        <v>16</v>
      </c>
      <c r="I134" s="1029"/>
      <c r="K134" s="783"/>
      <c r="L134" s="800"/>
      <c r="M134" s="776"/>
      <c r="N134" s="801"/>
      <c r="O134" s="805"/>
      <c r="P134" s="805"/>
      <c r="Q134" s="805"/>
      <c r="R134" s="805"/>
      <c r="S134" s="805"/>
      <c r="T134" s="805"/>
      <c r="U134" s="805"/>
      <c r="V134" s="805"/>
      <c r="W134" s="805"/>
      <c r="X134" s="805"/>
    </row>
    <row r="135" spans="1:24" x14ac:dyDescent="0.25">
      <c r="A135" s="1035">
        <v>126</v>
      </c>
      <c r="B135" s="1035" t="s">
        <v>13</v>
      </c>
      <c r="C135" s="1035" t="s">
        <v>100</v>
      </c>
      <c r="D135" s="1132" t="s">
        <v>55</v>
      </c>
      <c r="E135" s="1149" t="str">
        <f>Man04_minstd</f>
        <v>Unclassified</v>
      </c>
      <c r="F135" s="1134"/>
      <c r="G135" s="1135"/>
      <c r="I135" s="1029"/>
      <c r="K135" s="783"/>
      <c r="L135" s="800"/>
      <c r="M135" s="776"/>
      <c r="N135" s="801"/>
      <c r="O135" s="805"/>
      <c r="P135" s="805"/>
      <c r="Q135" s="805"/>
      <c r="R135" s="805"/>
      <c r="S135" s="805"/>
      <c r="T135" s="805"/>
      <c r="U135" s="805"/>
      <c r="V135" s="805"/>
      <c r="W135" s="805"/>
      <c r="X135" s="805"/>
    </row>
    <row r="136" spans="1:24" x14ac:dyDescent="0.25">
      <c r="A136" s="1035">
        <v>127</v>
      </c>
      <c r="B136" s="1035" t="s">
        <v>13</v>
      </c>
      <c r="C136" s="1035" t="s">
        <v>100</v>
      </c>
      <c r="I136" s="1029"/>
      <c r="K136" s="783"/>
      <c r="L136" s="800"/>
      <c r="M136" s="776"/>
      <c r="N136" s="801"/>
      <c r="O136" s="805"/>
      <c r="P136" s="805"/>
      <c r="Q136" s="805"/>
      <c r="R136" s="805"/>
      <c r="S136" s="805"/>
      <c r="T136" s="805"/>
      <c r="U136" s="805"/>
      <c r="V136" s="805"/>
      <c r="W136" s="805"/>
      <c r="X136" s="805"/>
    </row>
    <row r="137" spans="1:24" x14ac:dyDescent="0.25">
      <c r="A137" s="1035">
        <v>128</v>
      </c>
      <c r="B137" s="1035" t="s">
        <v>13</v>
      </c>
      <c r="C137" s="1035" t="s">
        <v>100</v>
      </c>
      <c r="D137" s="1136" t="s">
        <v>359</v>
      </c>
      <c r="E137" s="1136" t="s">
        <v>977</v>
      </c>
      <c r="F137" s="1136" t="str">
        <f>HLOOKUP(C137,'Assessment References'!$H$512:$BG$513,2,FALSE)</f>
        <v/>
      </c>
      <c r="G137" s="1137"/>
      <c r="H137" s="1138"/>
      <c r="I137" s="1029"/>
      <c r="K137" s="783"/>
      <c r="L137" s="800"/>
      <c r="M137" s="776"/>
      <c r="N137" s="801"/>
      <c r="O137" s="805"/>
      <c r="P137" s="805"/>
      <c r="Q137" s="805"/>
      <c r="R137" s="805"/>
      <c r="S137" s="805"/>
      <c r="T137" s="805"/>
      <c r="U137" s="805"/>
      <c r="V137" s="805"/>
      <c r="W137" s="805"/>
      <c r="X137" s="805"/>
    </row>
    <row r="138" spans="1:24" x14ac:dyDescent="0.25">
      <c r="A138" s="1035">
        <v>129</v>
      </c>
      <c r="B138" s="1035" t="s">
        <v>13</v>
      </c>
      <c r="C138" s="1035" t="s">
        <v>100</v>
      </c>
      <c r="D138" s="1363"/>
      <c r="E138" s="1352"/>
      <c r="F138" s="1352"/>
      <c r="G138" s="1352"/>
      <c r="H138" s="1353"/>
      <c r="I138" s="1029"/>
      <c r="K138" s="783"/>
      <c r="L138" s="800"/>
      <c r="M138" s="776"/>
      <c r="N138" s="801"/>
      <c r="O138" s="805"/>
      <c r="P138" s="805"/>
      <c r="Q138" s="805"/>
      <c r="R138" s="805"/>
      <c r="S138" s="805"/>
      <c r="T138" s="805"/>
      <c r="U138" s="805"/>
      <c r="V138" s="805"/>
      <c r="W138" s="805"/>
      <c r="X138" s="805"/>
    </row>
    <row r="139" spans="1:24" x14ac:dyDescent="0.25">
      <c r="A139" s="1035">
        <v>130</v>
      </c>
      <c r="B139" s="1035" t="s">
        <v>13</v>
      </c>
      <c r="C139" s="1035" t="s">
        <v>100</v>
      </c>
      <c r="D139" s="1354"/>
      <c r="E139" s="1355"/>
      <c r="F139" s="1355"/>
      <c r="G139" s="1355"/>
      <c r="H139" s="1356"/>
      <c r="I139" s="1029"/>
      <c r="K139" s="783"/>
      <c r="L139" s="800"/>
      <c r="M139" s="776"/>
      <c r="N139" s="801"/>
      <c r="O139" s="805"/>
      <c r="P139" s="805"/>
      <c r="Q139" s="805"/>
      <c r="R139" s="805"/>
      <c r="S139" s="805"/>
      <c r="T139" s="805"/>
      <c r="U139" s="805"/>
      <c r="V139" s="805"/>
      <c r="W139" s="805"/>
      <c r="X139" s="805"/>
    </row>
    <row r="140" spans="1:24" x14ac:dyDescent="0.25">
      <c r="A140" s="1035">
        <v>131</v>
      </c>
      <c r="B140" s="1035" t="s">
        <v>13</v>
      </c>
      <c r="C140" s="1035" t="s">
        <v>100</v>
      </c>
      <c r="D140" s="1354"/>
      <c r="E140" s="1355"/>
      <c r="F140" s="1355"/>
      <c r="G140" s="1355"/>
      <c r="H140" s="1356"/>
      <c r="I140" s="1029"/>
      <c r="K140" s="783"/>
      <c r="L140" s="800"/>
      <c r="M140" s="776"/>
      <c r="N140" s="801"/>
      <c r="O140" s="805"/>
      <c r="P140" s="805"/>
      <c r="Q140" s="805"/>
      <c r="R140" s="805"/>
      <c r="S140" s="805"/>
      <c r="T140" s="805"/>
      <c r="U140" s="805"/>
      <c r="V140" s="805"/>
      <c r="W140" s="805"/>
      <c r="X140" s="805"/>
    </row>
    <row r="141" spans="1:24" x14ac:dyDescent="0.25">
      <c r="A141" s="1035">
        <v>132</v>
      </c>
      <c r="B141" s="1035" t="s">
        <v>13</v>
      </c>
      <c r="C141" s="1035" t="s">
        <v>100</v>
      </c>
      <c r="D141" s="1364"/>
      <c r="E141" s="1358"/>
      <c r="F141" s="1358"/>
      <c r="G141" s="1358"/>
      <c r="H141" s="1359"/>
      <c r="I141" s="1029"/>
      <c r="K141" s="783"/>
      <c r="L141" s="800"/>
      <c r="M141" s="776"/>
      <c r="N141" s="801"/>
      <c r="O141" s="805"/>
      <c r="P141" s="805"/>
      <c r="Q141" s="805"/>
      <c r="R141" s="805"/>
      <c r="S141" s="805"/>
      <c r="T141" s="805"/>
      <c r="U141" s="805"/>
      <c r="V141" s="805"/>
      <c r="W141" s="805"/>
      <c r="X141" s="805"/>
    </row>
    <row r="142" spans="1:24" x14ac:dyDescent="0.25">
      <c r="A142" s="1035">
        <v>133</v>
      </c>
      <c r="B142" s="1035" t="s">
        <v>13</v>
      </c>
      <c r="C142" s="1035" t="s">
        <v>100</v>
      </c>
      <c r="D142" s="1364"/>
      <c r="E142" s="1358"/>
      <c r="F142" s="1358"/>
      <c r="G142" s="1358"/>
      <c r="H142" s="1359"/>
      <c r="I142" s="1029"/>
      <c r="K142" s="783"/>
      <c r="L142" s="800"/>
      <c r="M142" s="776"/>
      <c r="N142" s="801"/>
      <c r="O142" s="805"/>
      <c r="P142" s="805"/>
      <c r="Q142" s="805"/>
      <c r="R142" s="805"/>
      <c r="S142" s="805"/>
      <c r="T142" s="805"/>
      <c r="U142" s="805"/>
      <c r="V142" s="805"/>
      <c r="W142" s="805"/>
      <c r="X142" s="805"/>
    </row>
    <row r="143" spans="1:24" x14ac:dyDescent="0.25">
      <c r="A143" s="1035">
        <v>134</v>
      </c>
      <c r="B143" s="1035" t="s">
        <v>13</v>
      </c>
      <c r="C143" s="1035" t="s">
        <v>100</v>
      </c>
      <c r="D143" s="1360"/>
      <c r="E143" s="1361"/>
      <c r="F143" s="1361"/>
      <c r="G143" s="1361"/>
      <c r="H143" s="1362"/>
      <c r="I143" s="1029"/>
      <c r="K143" s="783"/>
      <c r="L143" s="800"/>
      <c r="M143" s="776"/>
      <c r="N143" s="801"/>
      <c r="O143" s="805"/>
      <c r="P143" s="805"/>
      <c r="Q143" s="805"/>
      <c r="R143" s="805"/>
      <c r="S143" s="805"/>
      <c r="T143" s="805"/>
      <c r="U143" s="805"/>
      <c r="V143" s="805"/>
      <c r="W143" s="805"/>
      <c r="X143" s="805"/>
    </row>
    <row r="144" spans="1:24" ht="15.75" thickBot="1" x14ac:dyDescent="0.3">
      <c r="A144" s="1035">
        <v>135</v>
      </c>
      <c r="B144" s="1035" t="s">
        <v>13</v>
      </c>
      <c r="C144" s="1035" t="s">
        <v>100</v>
      </c>
      <c r="I144" s="1029"/>
      <c r="K144" s="783"/>
      <c r="L144" s="800"/>
      <c r="M144" s="776"/>
      <c r="N144" s="801"/>
      <c r="O144" s="805"/>
      <c r="P144" s="805"/>
      <c r="Q144" s="805"/>
      <c r="R144" s="805"/>
      <c r="S144" s="805"/>
      <c r="T144" s="805"/>
      <c r="U144" s="805"/>
      <c r="V144" s="805"/>
      <c r="W144" s="805"/>
      <c r="X144" s="805"/>
    </row>
    <row r="145" spans="1:24" ht="15.75" thickBot="1" x14ac:dyDescent="0.3">
      <c r="A145" s="1037">
        <v>136</v>
      </c>
      <c r="B145" s="1037" t="s">
        <v>13</v>
      </c>
      <c r="C145" s="802" t="s">
        <v>101</v>
      </c>
      <c r="D145" s="1103" t="s">
        <v>883</v>
      </c>
      <c r="E145" s="1104"/>
      <c r="F145" s="1104"/>
      <c r="G145" s="1105"/>
      <c r="H145" s="1106"/>
      <c r="I145" s="1029"/>
      <c r="K145" s="783"/>
      <c r="L145" s="804" t="str">
        <f>C145</f>
        <v>Man 05</v>
      </c>
      <c r="M145" s="776"/>
      <c r="N145" s="801"/>
      <c r="O145" s="805"/>
      <c r="P145" s="805"/>
      <c r="Q145" s="805"/>
      <c r="R145" s="805"/>
      <c r="S145" s="805"/>
      <c r="T145" s="805"/>
      <c r="U145" s="805"/>
      <c r="V145" s="805"/>
      <c r="W145" s="805"/>
      <c r="X145" s="805"/>
    </row>
    <row r="146" spans="1:24" ht="15.75" thickBot="1" x14ac:dyDescent="0.3">
      <c r="A146" s="1035">
        <v>137</v>
      </c>
      <c r="B146" s="1035" t="s">
        <v>13</v>
      </c>
      <c r="C146" s="1035" t="s">
        <v>101</v>
      </c>
      <c r="D146" s="1107" t="s">
        <v>17</v>
      </c>
      <c r="E146" s="1108">
        <f>Man05_credits</f>
        <v>3</v>
      </c>
      <c r="F146" s="1109"/>
      <c r="G146" s="1110" t="s">
        <v>85</v>
      </c>
      <c r="H146" s="1111">
        <f>Man05_10</f>
        <v>1.8000000000000002E-2</v>
      </c>
      <c r="I146" s="1029"/>
      <c r="K146" s="783"/>
      <c r="L146" s="800"/>
      <c r="M146" s="776"/>
      <c r="N146" s="801"/>
      <c r="O146" s="805"/>
      <c r="P146" s="805"/>
      <c r="Q146" s="805"/>
      <c r="R146" s="805"/>
      <c r="S146" s="805"/>
      <c r="T146" s="805"/>
      <c r="U146" s="805"/>
      <c r="V146" s="805"/>
      <c r="W146" s="805"/>
      <c r="X146" s="805"/>
    </row>
    <row r="147" spans="1:24" x14ac:dyDescent="0.25">
      <c r="A147" s="1035">
        <v>138</v>
      </c>
      <c r="B147" s="1035" t="s">
        <v>13</v>
      </c>
      <c r="C147" s="1035" t="s">
        <v>101</v>
      </c>
      <c r="D147" s="1112" t="s">
        <v>349</v>
      </c>
      <c r="E147" s="1113">
        <f>Inn01_credits</f>
        <v>1</v>
      </c>
      <c r="F147" s="1114"/>
      <c r="G147" s="1115" t="s">
        <v>350</v>
      </c>
      <c r="H147" s="1116" t="s">
        <v>14</v>
      </c>
      <c r="I147" s="1029"/>
      <c r="K147" s="783"/>
      <c r="L147" s="810" t="s">
        <v>788</v>
      </c>
      <c r="M147" s="776"/>
      <c r="N147" s="801"/>
      <c r="O147" s="805"/>
      <c r="P147" s="805"/>
      <c r="Q147" s="805"/>
      <c r="R147" s="805"/>
      <c r="S147" s="805"/>
      <c r="T147" s="805"/>
      <c r="U147" s="805"/>
      <c r="V147" s="805"/>
      <c r="W147" s="805"/>
      <c r="X147" s="805"/>
    </row>
    <row r="148" spans="1:24" ht="15.75" thickBot="1" x14ac:dyDescent="0.3">
      <c r="A148" s="1035">
        <v>139</v>
      </c>
      <c r="B148" s="1035" t="s">
        <v>13</v>
      </c>
      <c r="C148" s="1035" t="s">
        <v>101</v>
      </c>
      <c r="I148" s="1029"/>
      <c r="K148" s="783"/>
      <c r="L148" s="817">
        <f>G151</f>
        <v>0</v>
      </c>
      <c r="M148" s="776"/>
      <c r="N148" s="801"/>
      <c r="O148" s="805"/>
      <c r="P148" s="805"/>
      <c r="Q148" s="805"/>
      <c r="R148" s="805"/>
      <c r="S148" s="805"/>
      <c r="T148" s="805"/>
      <c r="U148" s="805"/>
      <c r="V148" s="805"/>
      <c r="W148" s="805"/>
      <c r="X148" s="805"/>
    </row>
    <row r="149" spans="1:24" ht="15.75" thickBot="1" x14ac:dyDescent="0.3">
      <c r="A149" s="1035">
        <v>140</v>
      </c>
      <c r="B149" s="1035" t="s">
        <v>13</v>
      </c>
      <c r="C149" s="1035" t="s">
        <v>101</v>
      </c>
      <c r="D149" s="1117" t="s">
        <v>351</v>
      </c>
      <c r="E149" s="1118" t="s">
        <v>352</v>
      </c>
      <c r="F149" s="1118" t="s">
        <v>353</v>
      </c>
      <c r="G149" s="1118" t="s">
        <v>354</v>
      </c>
      <c r="H149" s="1118" t="s">
        <v>355</v>
      </c>
      <c r="I149" s="1029"/>
      <c r="K149" s="783"/>
      <c r="L149" s="800"/>
      <c r="M149" s="776"/>
      <c r="N149" s="801"/>
      <c r="O149" s="805"/>
      <c r="P149" s="805"/>
      <c r="Q149" s="805"/>
      <c r="R149" s="805"/>
      <c r="S149" s="805"/>
      <c r="T149" s="805"/>
      <c r="U149" s="805"/>
      <c r="V149" s="805"/>
      <c r="W149" s="805"/>
      <c r="X149" s="805"/>
    </row>
    <row r="150" spans="1:24" x14ac:dyDescent="0.25">
      <c r="A150" s="1035">
        <v>141</v>
      </c>
      <c r="B150" s="1035" t="s">
        <v>13</v>
      </c>
      <c r="C150" s="1035" t="s">
        <v>101</v>
      </c>
      <c r="D150" s="1119" t="s">
        <v>789</v>
      </c>
      <c r="E150" s="1093" t="s">
        <v>360</v>
      </c>
      <c r="F150" s="1120">
        <v>1</v>
      </c>
      <c r="G150" s="1120">
        <f>IF(E150=AIS_Yes,F150,0)</f>
        <v>0</v>
      </c>
      <c r="H150" s="1325" t="s">
        <v>16</v>
      </c>
      <c r="I150" s="1029"/>
      <c r="K150" s="783"/>
      <c r="L150" s="800"/>
      <c r="M150" s="776"/>
      <c r="N150" s="801"/>
      <c r="O150" s="102" t="s">
        <v>1273</v>
      </c>
      <c r="P150" s="49"/>
      <c r="Q150" s="49"/>
      <c r="R150" s="49"/>
      <c r="S150" s="49"/>
      <c r="T150" s="49"/>
      <c r="U150" s="49" t="str">
        <f>$T$4</f>
        <v>No</v>
      </c>
      <c r="V150" s="805"/>
      <c r="W150" s="805"/>
      <c r="X150" s="805"/>
    </row>
    <row r="151" spans="1:24" x14ac:dyDescent="0.25">
      <c r="A151" s="1035">
        <v>142</v>
      </c>
      <c r="B151" s="1035" t="s">
        <v>13</v>
      </c>
      <c r="C151" s="1035" t="s">
        <v>101</v>
      </c>
      <c r="D151" s="1121" t="s">
        <v>790</v>
      </c>
      <c r="E151" s="1091" t="s">
        <v>360</v>
      </c>
      <c r="F151" s="1122">
        <v>1</v>
      </c>
      <c r="G151" s="1122">
        <f>IF(E151=AIS_Yes,F151,0)</f>
        <v>0</v>
      </c>
      <c r="H151" s="1318" t="s">
        <v>16</v>
      </c>
      <c r="I151" s="1029"/>
      <c r="K151" s="783"/>
      <c r="L151" s="800"/>
      <c r="M151" s="776"/>
      <c r="N151" s="801"/>
      <c r="O151" s="102" t="s">
        <v>1273</v>
      </c>
      <c r="P151" s="49"/>
      <c r="Q151" s="49"/>
      <c r="R151" s="49"/>
      <c r="S151" s="49"/>
      <c r="T151" s="49"/>
      <c r="U151" s="49" t="str">
        <f>$T$4</f>
        <v>No</v>
      </c>
      <c r="V151" s="805"/>
      <c r="W151" s="805"/>
      <c r="X151" s="805"/>
    </row>
    <row r="152" spans="1:24" x14ac:dyDescent="0.25">
      <c r="A152" s="1035">
        <v>143</v>
      </c>
      <c r="B152" s="1035" t="s">
        <v>13</v>
      </c>
      <c r="C152" s="1035" t="s">
        <v>101</v>
      </c>
      <c r="D152" s="1150" t="s">
        <v>791</v>
      </c>
      <c r="E152" s="1091" t="s">
        <v>360</v>
      </c>
      <c r="F152" s="1151">
        <v>1</v>
      </c>
      <c r="G152" s="1122">
        <f>IF(E152=AIS_Yes,F152,0)</f>
        <v>0</v>
      </c>
      <c r="H152" s="1318" t="s">
        <v>16</v>
      </c>
      <c r="I152" s="1029"/>
      <c r="K152" s="783"/>
      <c r="L152" s="800"/>
      <c r="M152" s="776"/>
      <c r="N152" s="801"/>
      <c r="O152" s="102" t="s">
        <v>1273</v>
      </c>
      <c r="P152" s="49"/>
      <c r="Q152" s="49"/>
      <c r="R152" s="49"/>
      <c r="S152" s="49"/>
      <c r="T152" s="49"/>
      <c r="U152" s="49" t="str">
        <f>$T$4</f>
        <v>No</v>
      </c>
      <c r="V152" s="805"/>
      <c r="W152" s="805"/>
      <c r="X152" s="805"/>
    </row>
    <row r="153" spans="1:24" ht="15.75" thickBot="1" x14ac:dyDescent="0.3">
      <c r="A153" s="1035">
        <v>144</v>
      </c>
      <c r="B153" s="1035" t="s">
        <v>13</v>
      </c>
      <c r="C153" s="1035" t="s">
        <v>101</v>
      </c>
      <c r="D153" s="1123" t="s">
        <v>860</v>
      </c>
      <c r="E153" s="1100" t="s">
        <v>360</v>
      </c>
      <c r="F153" s="1124">
        <f>E147</f>
        <v>1</v>
      </c>
      <c r="G153" s="1124">
        <f>IF(E153=AIS_Yes,F153,0)</f>
        <v>0</v>
      </c>
      <c r="H153" s="1321" t="s">
        <v>16</v>
      </c>
      <c r="I153" s="1029"/>
      <c r="K153" s="783"/>
      <c r="L153" s="800"/>
      <c r="M153" s="776"/>
      <c r="N153" s="801"/>
      <c r="O153" s="102" t="s">
        <v>1273</v>
      </c>
      <c r="P153" s="49"/>
      <c r="Q153" s="49"/>
      <c r="R153" s="49"/>
      <c r="S153" s="49"/>
      <c r="T153" s="49"/>
      <c r="U153" s="49" t="str">
        <f>$T$4</f>
        <v>No</v>
      </c>
      <c r="V153" s="805"/>
      <c r="W153" s="805"/>
      <c r="X153" s="805"/>
    </row>
    <row r="154" spans="1:24" x14ac:dyDescent="0.25">
      <c r="A154" s="1035">
        <v>145</v>
      </c>
      <c r="B154" s="1035" t="s">
        <v>13</v>
      </c>
      <c r="C154" s="1035" t="s">
        <v>101</v>
      </c>
      <c r="E154" s="1126"/>
      <c r="I154" s="1029"/>
      <c r="K154" s="783"/>
      <c r="L154" s="800"/>
      <c r="M154" s="776"/>
      <c r="N154" s="801"/>
      <c r="O154" s="805"/>
      <c r="P154" s="805"/>
      <c r="Q154" s="805"/>
      <c r="R154" s="805"/>
      <c r="S154" s="805"/>
      <c r="T154" s="805"/>
      <c r="U154" s="805"/>
      <c r="V154" s="805"/>
      <c r="W154" s="805"/>
      <c r="X154" s="805"/>
    </row>
    <row r="155" spans="1:24" x14ac:dyDescent="0.25">
      <c r="A155" s="1035">
        <v>146</v>
      </c>
      <c r="B155" s="1035" t="s">
        <v>13</v>
      </c>
      <c r="C155" s="1035" t="s">
        <v>101</v>
      </c>
      <c r="D155" s="1127" t="s">
        <v>356</v>
      </c>
      <c r="E155" s="1128">
        <f>IF((G150+G151+G152)&gt;E146,E146,G150+G151+G152)</f>
        <v>0</v>
      </c>
      <c r="I155" s="1029"/>
      <c r="K155" s="783"/>
      <c r="L155" s="800"/>
      <c r="M155" s="776"/>
      <c r="N155" s="801"/>
      <c r="O155" s="805"/>
      <c r="P155" s="805"/>
      <c r="Q155" s="805"/>
      <c r="R155" s="805"/>
      <c r="S155" s="805"/>
      <c r="T155" s="805"/>
      <c r="U155" s="805"/>
      <c r="V155" s="805"/>
      <c r="W155" s="805"/>
      <c r="X155" s="805"/>
    </row>
    <row r="156" spans="1:24" x14ac:dyDescent="0.25">
      <c r="A156" s="1035">
        <v>147</v>
      </c>
      <c r="B156" s="1035" t="s">
        <v>13</v>
      </c>
      <c r="C156" s="1035" t="s">
        <v>101</v>
      </c>
      <c r="D156" s="1129" t="s">
        <v>86</v>
      </c>
      <c r="E156" s="1130">
        <f>Man05_cont</f>
        <v>0</v>
      </c>
      <c r="I156" s="1029"/>
      <c r="K156" s="783"/>
      <c r="L156" s="800"/>
      <c r="M156" s="776"/>
      <c r="N156" s="801"/>
      <c r="O156" s="805"/>
      <c r="P156" s="805"/>
      <c r="Q156" s="805"/>
      <c r="R156" s="805"/>
      <c r="S156" s="805"/>
      <c r="T156" s="805"/>
      <c r="U156" s="805"/>
      <c r="V156" s="805"/>
      <c r="W156" s="805"/>
      <c r="X156" s="805"/>
    </row>
    <row r="157" spans="1:24" x14ac:dyDescent="0.25">
      <c r="A157" s="1035">
        <v>148</v>
      </c>
      <c r="B157" s="1035" t="s">
        <v>13</v>
      </c>
      <c r="C157" s="1035" t="s">
        <v>101</v>
      </c>
      <c r="D157" s="1131" t="s">
        <v>357</v>
      </c>
      <c r="E157" s="1128">
        <f>G153</f>
        <v>0</v>
      </c>
      <c r="I157" s="1029"/>
      <c r="K157" s="783"/>
      <c r="L157" s="800"/>
      <c r="M157" s="776"/>
      <c r="N157" s="801"/>
      <c r="O157" s="805"/>
      <c r="P157" s="805"/>
      <c r="Q157" s="805"/>
      <c r="R157" s="805"/>
      <c r="S157" s="805"/>
      <c r="T157" s="805"/>
      <c r="U157" s="805"/>
      <c r="V157" s="805"/>
      <c r="W157" s="805"/>
      <c r="X157" s="805"/>
    </row>
    <row r="158" spans="1:24" x14ac:dyDescent="0.25">
      <c r="A158" s="1035">
        <v>149</v>
      </c>
      <c r="B158" s="1035" t="s">
        <v>13</v>
      </c>
      <c r="C158" s="1035" t="s">
        <v>101</v>
      </c>
      <c r="D158" s="1132" t="s">
        <v>55</v>
      </c>
      <c r="E158" s="1149" t="str">
        <f>Man05_minstd</f>
        <v>Very Good</v>
      </c>
      <c r="F158" s="1134"/>
      <c r="G158" s="1135"/>
      <c r="I158" s="1029"/>
      <c r="K158" s="783"/>
      <c r="L158" s="800"/>
      <c r="M158" s="776"/>
      <c r="N158" s="801"/>
      <c r="O158" s="805"/>
      <c r="P158" s="805"/>
      <c r="Q158" s="805"/>
      <c r="R158" s="805"/>
      <c r="S158" s="805"/>
      <c r="T158" s="805"/>
      <c r="U158" s="805"/>
      <c r="V158" s="805"/>
      <c r="W158" s="805"/>
      <c r="X158" s="805"/>
    </row>
    <row r="159" spans="1:24" x14ac:dyDescent="0.25">
      <c r="A159" s="1035">
        <v>150</v>
      </c>
      <c r="B159" s="1035" t="s">
        <v>13</v>
      </c>
      <c r="C159" s="1035" t="s">
        <v>101</v>
      </c>
      <c r="I159" s="1029"/>
      <c r="K159" s="783"/>
      <c r="L159" s="800"/>
      <c r="M159" s="776"/>
      <c r="N159" s="801"/>
      <c r="O159" s="805"/>
      <c r="P159" s="805"/>
      <c r="Q159" s="805"/>
      <c r="R159" s="805"/>
      <c r="S159" s="805"/>
      <c r="T159" s="805"/>
      <c r="U159" s="805"/>
      <c r="V159" s="805"/>
      <c r="W159" s="805"/>
      <c r="X159" s="805"/>
    </row>
    <row r="160" spans="1:24" x14ac:dyDescent="0.25">
      <c r="A160" s="1035">
        <v>151</v>
      </c>
      <c r="B160" s="1035" t="s">
        <v>13</v>
      </c>
      <c r="C160" s="1035" t="s">
        <v>101</v>
      </c>
      <c r="D160" s="1136" t="s">
        <v>359</v>
      </c>
      <c r="E160" s="1136" t="s">
        <v>977</v>
      </c>
      <c r="F160" s="1136" t="str">
        <f>HLOOKUP(C160,'Assessment References'!$H$512:$BG$513,2,FALSE)</f>
        <v/>
      </c>
      <c r="G160" s="1137"/>
      <c r="H160" s="1138"/>
      <c r="I160" s="1029"/>
      <c r="K160" s="783"/>
      <c r="L160" s="800"/>
      <c r="M160" s="776"/>
      <c r="N160" s="801"/>
      <c r="O160" s="805"/>
      <c r="P160" s="805"/>
      <c r="Q160" s="805"/>
      <c r="R160" s="805"/>
      <c r="S160" s="805"/>
      <c r="T160" s="805"/>
      <c r="U160" s="805"/>
      <c r="V160" s="805"/>
      <c r="W160" s="805"/>
      <c r="X160" s="805"/>
    </row>
    <row r="161" spans="1:27" x14ac:dyDescent="0.25">
      <c r="A161" s="1035">
        <v>152</v>
      </c>
      <c r="B161" s="1035" t="s">
        <v>13</v>
      </c>
      <c r="C161" s="1035" t="s">
        <v>101</v>
      </c>
      <c r="D161" s="1363"/>
      <c r="E161" s="1352"/>
      <c r="F161" s="1352"/>
      <c r="G161" s="1352"/>
      <c r="H161" s="1353"/>
      <c r="I161" s="1029"/>
      <c r="K161" s="783"/>
      <c r="L161" s="820"/>
      <c r="M161" s="821"/>
      <c r="N161" s="801"/>
      <c r="O161" s="822"/>
      <c r="P161" s="822"/>
      <c r="Q161" s="822"/>
      <c r="R161" s="822"/>
      <c r="S161" s="822"/>
      <c r="T161" s="822"/>
      <c r="U161" s="822"/>
      <c r="V161" s="822"/>
      <c r="W161" s="822"/>
      <c r="X161" s="822"/>
      <c r="Y161" s="823"/>
      <c r="Z161" s="823"/>
      <c r="AA161" s="823"/>
    </row>
    <row r="162" spans="1:27" x14ac:dyDescent="0.25">
      <c r="A162" s="1035">
        <v>153</v>
      </c>
      <c r="B162" s="1035" t="s">
        <v>13</v>
      </c>
      <c r="C162" s="1035" t="s">
        <v>101</v>
      </c>
      <c r="D162" s="1354"/>
      <c r="E162" s="1355"/>
      <c r="F162" s="1355"/>
      <c r="G162" s="1355"/>
      <c r="H162" s="1356"/>
      <c r="I162" s="1029"/>
      <c r="K162" s="783"/>
      <c r="L162" s="820"/>
      <c r="M162" s="821"/>
      <c r="N162" s="801"/>
      <c r="O162" s="822"/>
      <c r="P162" s="822"/>
      <c r="Q162" s="822"/>
      <c r="R162" s="822"/>
      <c r="S162" s="822"/>
      <c r="T162" s="822"/>
      <c r="U162" s="822"/>
      <c r="V162" s="822"/>
      <c r="W162" s="822"/>
      <c r="X162" s="822"/>
      <c r="Y162" s="823"/>
      <c r="Z162" s="823"/>
      <c r="AA162" s="823"/>
    </row>
    <row r="163" spans="1:27" x14ac:dyDescent="0.25">
      <c r="A163" s="1035">
        <v>154</v>
      </c>
      <c r="B163" s="1035" t="s">
        <v>13</v>
      </c>
      <c r="C163" s="1035" t="s">
        <v>101</v>
      </c>
      <c r="D163" s="1354"/>
      <c r="E163" s="1355"/>
      <c r="F163" s="1355"/>
      <c r="G163" s="1355"/>
      <c r="H163" s="1356"/>
      <c r="I163" s="1029"/>
      <c r="K163" s="783"/>
      <c r="L163" s="820"/>
      <c r="M163" s="821"/>
      <c r="N163" s="801"/>
      <c r="O163" s="822"/>
      <c r="P163" s="822"/>
      <c r="Q163" s="822"/>
      <c r="R163" s="822"/>
      <c r="S163" s="822"/>
      <c r="T163" s="822"/>
      <c r="U163" s="822"/>
      <c r="V163" s="822"/>
      <c r="W163" s="822"/>
      <c r="X163" s="822"/>
      <c r="Y163" s="823"/>
      <c r="Z163" s="823"/>
      <c r="AA163" s="823"/>
    </row>
    <row r="164" spans="1:27" x14ac:dyDescent="0.25">
      <c r="A164" s="1035">
        <v>155</v>
      </c>
      <c r="B164" s="1035" t="s">
        <v>13</v>
      </c>
      <c r="C164" s="1035" t="s">
        <v>101</v>
      </c>
      <c r="D164" s="1364"/>
      <c r="E164" s="1358"/>
      <c r="F164" s="1358"/>
      <c r="G164" s="1358"/>
      <c r="H164" s="1359"/>
      <c r="I164" s="1029"/>
      <c r="K164" s="783"/>
      <c r="L164" s="820"/>
      <c r="M164" s="821"/>
      <c r="N164" s="801"/>
      <c r="O164" s="822"/>
      <c r="P164" s="822"/>
      <c r="Q164" s="822"/>
      <c r="R164" s="822"/>
      <c r="S164" s="822"/>
      <c r="T164" s="822"/>
      <c r="U164" s="822"/>
      <c r="V164" s="822"/>
      <c r="W164" s="822"/>
      <c r="X164" s="822"/>
      <c r="Y164" s="823"/>
      <c r="Z164" s="823"/>
      <c r="AA164" s="823"/>
    </row>
    <row r="165" spans="1:27" x14ac:dyDescent="0.25">
      <c r="A165" s="1035">
        <v>156</v>
      </c>
      <c r="B165" s="1035" t="s">
        <v>13</v>
      </c>
      <c r="C165" s="1035" t="s">
        <v>101</v>
      </c>
      <c r="D165" s="1364"/>
      <c r="E165" s="1358"/>
      <c r="F165" s="1358"/>
      <c r="G165" s="1358"/>
      <c r="H165" s="1359"/>
      <c r="I165" s="1029"/>
      <c r="K165" s="783"/>
      <c r="L165" s="820"/>
      <c r="M165" s="821"/>
      <c r="N165" s="801"/>
      <c r="O165" s="822"/>
      <c r="P165" s="822"/>
      <c r="Q165" s="822"/>
      <c r="R165" s="822"/>
      <c r="S165" s="822"/>
      <c r="T165" s="822"/>
      <c r="U165" s="822"/>
      <c r="V165" s="822"/>
      <c r="W165" s="822"/>
      <c r="X165" s="822"/>
      <c r="Y165" s="823"/>
      <c r="Z165" s="823"/>
      <c r="AA165" s="823"/>
    </row>
    <row r="166" spans="1:27" x14ac:dyDescent="0.25">
      <c r="A166" s="1035">
        <v>157</v>
      </c>
      <c r="B166" s="1035" t="s">
        <v>13</v>
      </c>
      <c r="C166" s="1035" t="s">
        <v>101</v>
      </c>
      <c r="D166" s="1360"/>
      <c r="E166" s="1361"/>
      <c r="F166" s="1361"/>
      <c r="G166" s="1361"/>
      <c r="H166" s="1362"/>
      <c r="I166" s="1029"/>
      <c r="K166" s="783"/>
      <c r="L166" s="820"/>
      <c r="M166" s="821"/>
      <c r="N166" s="801"/>
      <c r="O166" s="822"/>
      <c r="P166" s="822"/>
      <c r="Q166" s="822"/>
      <c r="R166" s="822"/>
      <c r="S166" s="822"/>
      <c r="T166" s="822"/>
      <c r="U166" s="822"/>
      <c r="V166" s="822"/>
      <c r="W166" s="822"/>
      <c r="X166" s="822"/>
      <c r="Y166" s="823"/>
      <c r="Z166" s="823"/>
      <c r="AA166" s="823"/>
    </row>
    <row r="167" spans="1:27" x14ac:dyDescent="0.25">
      <c r="A167" s="1035">
        <v>158</v>
      </c>
      <c r="B167" s="1035" t="s">
        <v>13</v>
      </c>
      <c r="C167" s="1035" t="s">
        <v>101</v>
      </c>
      <c r="D167" s="1137"/>
      <c r="E167" s="1152"/>
      <c r="F167" s="1137"/>
      <c r="G167" s="1152"/>
      <c r="H167" s="1153"/>
      <c r="I167" s="824"/>
      <c r="J167" s="824"/>
      <c r="K167" s="808"/>
      <c r="L167" s="820"/>
      <c r="M167" s="821"/>
      <c r="N167" s="801"/>
      <c r="O167" s="822"/>
      <c r="P167" s="822"/>
      <c r="Q167" s="822"/>
      <c r="R167" s="822"/>
      <c r="S167" s="822"/>
      <c r="T167" s="822"/>
      <c r="U167" s="822"/>
      <c r="V167" s="822"/>
      <c r="W167" s="822"/>
      <c r="X167" s="822"/>
      <c r="Y167" s="823"/>
      <c r="Z167" s="823"/>
      <c r="AA167" s="823"/>
    </row>
    <row r="168" spans="1:27" ht="18.75" x14ac:dyDescent="0.3">
      <c r="A168" s="1041">
        <v>159</v>
      </c>
      <c r="B168" s="1032" t="s">
        <v>50</v>
      </c>
      <c r="C168" s="1033"/>
      <c r="D168" s="1154"/>
      <c r="E168" s="1154"/>
      <c r="F168" s="1154"/>
      <c r="G168" s="1154"/>
      <c r="H168" s="1155"/>
      <c r="I168" s="824"/>
      <c r="J168" s="824"/>
      <c r="K168" s="825"/>
      <c r="L168" s="820"/>
      <c r="M168" s="821"/>
      <c r="N168" s="801"/>
      <c r="O168" s="822"/>
      <c r="P168" s="822"/>
      <c r="Q168" s="822"/>
      <c r="R168" s="822"/>
      <c r="S168" s="822"/>
      <c r="T168" s="822"/>
      <c r="U168" s="822"/>
      <c r="V168" s="822"/>
      <c r="W168" s="822"/>
      <c r="X168" s="822"/>
      <c r="Y168" s="823"/>
      <c r="Z168" s="823"/>
      <c r="AA168" s="823"/>
    </row>
    <row r="169" spans="1:27" ht="15.75" thickBot="1" x14ac:dyDescent="0.3">
      <c r="A169" s="1035">
        <v>160</v>
      </c>
      <c r="B169" s="1035" t="s">
        <v>50</v>
      </c>
      <c r="C169" s="1029"/>
      <c r="D169" s="1156"/>
      <c r="E169" s="1156"/>
      <c r="F169" s="1156"/>
      <c r="G169" s="1156"/>
      <c r="H169" s="1156"/>
      <c r="I169" s="824"/>
      <c r="J169" s="824"/>
      <c r="K169" s="825"/>
      <c r="L169" s="820"/>
      <c r="M169" s="821"/>
      <c r="N169" s="801"/>
      <c r="O169" s="822"/>
      <c r="P169" s="822"/>
      <c r="Q169" s="822"/>
      <c r="R169" s="822"/>
      <c r="S169" s="822"/>
      <c r="T169" s="822"/>
      <c r="U169" s="822"/>
      <c r="V169" s="822"/>
      <c r="W169" s="822"/>
      <c r="X169" s="822"/>
      <c r="Y169" s="823"/>
      <c r="Z169" s="823"/>
      <c r="AA169" s="823"/>
    </row>
    <row r="170" spans="1:27" ht="15.75" thickBot="1" x14ac:dyDescent="0.3">
      <c r="A170" s="1037">
        <v>161</v>
      </c>
      <c r="B170" s="1037" t="s">
        <v>50</v>
      </c>
      <c r="C170" s="827" t="s">
        <v>125</v>
      </c>
      <c r="D170" s="1157" t="s">
        <v>884</v>
      </c>
      <c r="E170" s="1158"/>
      <c r="F170" s="1158"/>
      <c r="G170" s="1159"/>
      <c r="H170" s="1159"/>
      <c r="I170" s="824"/>
      <c r="J170" s="824"/>
      <c r="K170" s="825"/>
      <c r="L170" s="809" t="str">
        <f>C170</f>
        <v>Hea 01</v>
      </c>
      <c r="M170" s="821"/>
      <c r="N170" s="801"/>
      <c r="O170" s="822"/>
      <c r="P170" s="822"/>
      <c r="Q170" s="822"/>
      <c r="R170" s="822"/>
      <c r="S170" s="822"/>
      <c r="T170" s="822"/>
      <c r="U170" s="822"/>
      <c r="V170" s="822"/>
      <c r="W170" s="822"/>
      <c r="X170" s="822"/>
      <c r="Y170" s="823"/>
      <c r="Z170" s="823"/>
      <c r="AA170" s="823"/>
    </row>
    <row r="171" spans="1:27" x14ac:dyDescent="0.25">
      <c r="A171" s="1035">
        <v>162</v>
      </c>
      <c r="B171" s="1035" t="s">
        <v>50</v>
      </c>
      <c r="C171" s="1035" t="s">
        <v>125</v>
      </c>
      <c r="D171" s="1107" t="s">
        <v>17</v>
      </c>
      <c r="E171" s="1108">
        <f>Hea01_credits</f>
        <v>4</v>
      </c>
      <c r="F171" s="1109"/>
      <c r="G171" s="1110" t="s">
        <v>85</v>
      </c>
      <c r="H171" s="1111">
        <f>Hea01_26</f>
        <v>0.03</v>
      </c>
      <c r="I171" s="824"/>
      <c r="J171" s="824"/>
      <c r="K171" s="825"/>
      <c r="L171" s="828" t="s">
        <v>360</v>
      </c>
      <c r="M171" s="829">
        <v>0</v>
      </c>
      <c r="N171" s="830"/>
      <c r="O171" s="822"/>
      <c r="P171" s="822"/>
      <c r="Q171" s="822"/>
      <c r="R171" s="822"/>
      <c r="S171" s="822"/>
      <c r="T171" s="822"/>
      <c r="U171" s="822"/>
      <c r="V171" s="822"/>
      <c r="W171" s="822"/>
      <c r="X171" s="822"/>
      <c r="Y171" s="823"/>
      <c r="Z171" s="823"/>
      <c r="AA171" s="823"/>
    </row>
    <row r="172" spans="1:27" x14ac:dyDescent="0.25">
      <c r="A172" s="1035">
        <v>163</v>
      </c>
      <c r="B172" s="1035" t="s">
        <v>50</v>
      </c>
      <c r="C172" s="1035" t="s">
        <v>125</v>
      </c>
      <c r="D172" s="1112" t="s">
        <v>349</v>
      </c>
      <c r="E172" s="1113">
        <v>0</v>
      </c>
      <c r="F172" s="1114"/>
      <c r="G172" s="1115" t="s">
        <v>350</v>
      </c>
      <c r="H172" s="1116" t="s">
        <v>14</v>
      </c>
      <c r="I172" s="824"/>
      <c r="J172" s="824"/>
      <c r="K172" s="825"/>
      <c r="L172" s="831" t="s">
        <v>15</v>
      </c>
      <c r="M172" s="832">
        <v>0</v>
      </c>
      <c r="N172" s="830"/>
      <c r="O172" s="822"/>
      <c r="P172" s="822"/>
      <c r="Q172" s="822"/>
      <c r="R172" s="822"/>
      <c r="S172" s="822"/>
      <c r="T172" s="822"/>
      <c r="U172" s="822"/>
      <c r="V172" s="822"/>
      <c r="W172" s="822"/>
      <c r="X172" s="822"/>
      <c r="Y172" s="823"/>
      <c r="Z172" s="823"/>
      <c r="AA172" s="823"/>
    </row>
    <row r="173" spans="1:27" x14ac:dyDescent="0.25">
      <c r="A173" s="1035">
        <v>164</v>
      </c>
      <c r="B173" s="1035" t="s">
        <v>50</v>
      </c>
      <c r="C173" s="1035" t="s">
        <v>125</v>
      </c>
      <c r="I173" s="824"/>
      <c r="J173" s="824"/>
      <c r="K173" s="825"/>
      <c r="L173" s="831" t="s">
        <v>1221</v>
      </c>
      <c r="M173" s="832">
        <v>1</v>
      </c>
      <c r="N173" s="830"/>
      <c r="O173" s="822"/>
      <c r="P173" s="822"/>
      <c r="Q173" s="822"/>
      <c r="R173" s="822"/>
      <c r="S173" s="822"/>
      <c r="T173" s="822"/>
      <c r="U173" s="822"/>
      <c r="V173" s="822"/>
      <c r="W173" s="822"/>
      <c r="X173" s="822"/>
      <c r="Y173" s="823"/>
      <c r="Z173" s="823"/>
      <c r="AA173" s="823"/>
    </row>
    <row r="174" spans="1:27" ht="15.75" thickBot="1" x14ac:dyDescent="0.3">
      <c r="A174" s="1035">
        <v>165</v>
      </c>
      <c r="B174" s="1035" t="s">
        <v>50</v>
      </c>
      <c r="C174" s="1035" t="s">
        <v>125</v>
      </c>
      <c r="D174" s="1117" t="s">
        <v>351</v>
      </c>
      <c r="E174" s="1118" t="s">
        <v>352</v>
      </c>
      <c r="F174" s="1118" t="s">
        <v>353</v>
      </c>
      <c r="G174" s="1118" t="s">
        <v>354</v>
      </c>
      <c r="H174" s="1118" t="s">
        <v>355</v>
      </c>
      <c r="I174" s="824"/>
      <c r="J174" s="824"/>
      <c r="K174" s="825"/>
      <c r="L174" s="831" t="s">
        <v>1222</v>
      </c>
      <c r="M174" s="832">
        <v>2</v>
      </c>
      <c r="N174" s="830"/>
      <c r="O174" s="822"/>
      <c r="P174" s="822"/>
      <c r="Q174" s="822"/>
      <c r="R174" s="822"/>
      <c r="S174" s="822"/>
      <c r="T174" s="822"/>
      <c r="U174" s="822"/>
      <c r="V174" s="822"/>
      <c r="W174" s="822"/>
      <c r="X174" s="822"/>
      <c r="Y174" s="823"/>
      <c r="Z174" s="823"/>
      <c r="AA174" s="823"/>
    </row>
    <row r="175" spans="1:27" x14ac:dyDescent="0.25">
      <c r="A175" s="1035">
        <v>166</v>
      </c>
      <c r="B175" s="1035" t="s">
        <v>50</v>
      </c>
      <c r="C175" s="1035" t="s">
        <v>125</v>
      </c>
      <c r="D175" s="1119" t="s">
        <v>792</v>
      </c>
      <c r="E175" s="1093" t="s">
        <v>360</v>
      </c>
      <c r="F175" s="1120"/>
      <c r="G175" s="1139"/>
      <c r="H175" s="1325" t="s">
        <v>16</v>
      </c>
      <c r="I175" s="833" t="str">
        <f>IF(OR(E175=AIS_No,E175=AIS_PS),"Pre-requisite: Please select yes","")</f>
        <v>Pre-requisite: Please select yes</v>
      </c>
      <c r="J175" s="824"/>
      <c r="K175" s="825"/>
      <c r="L175" s="831" t="str">
        <f>IF(F176=4,"Yes - 3 credits","")</f>
        <v/>
      </c>
      <c r="M175" s="832" t="str">
        <f>IF(F176=4,3,"")</f>
        <v/>
      </c>
      <c r="N175" s="830"/>
      <c r="O175" s="102" t="s">
        <v>1273</v>
      </c>
      <c r="P175" s="822"/>
      <c r="Q175" s="822"/>
      <c r="R175" s="822"/>
      <c r="S175" s="822"/>
      <c r="T175" s="822"/>
      <c r="U175" s="822" t="str">
        <f>$T$4</f>
        <v>No</v>
      </c>
      <c r="V175" s="822"/>
      <c r="W175" s="822"/>
      <c r="X175" s="822"/>
      <c r="Y175" s="823"/>
      <c r="Z175" s="823"/>
      <c r="AA175" s="823"/>
    </row>
    <row r="176" spans="1:27" ht="15.75" thickBot="1" x14ac:dyDescent="0.3">
      <c r="A176" s="1035">
        <v>167</v>
      </c>
      <c r="B176" s="1035" t="s">
        <v>50</v>
      </c>
      <c r="C176" s="1035" t="s">
        <v>125</v>
      </c>
      <c r="D176" s="1160" t="s">
        <v>379</v>
      </c>
      <c r="E176" s="1100" t="s">
        <v>360</v>
      </c>
      <c r="F176" s="1161">
        <f>IF(L181=AIS_Yes,N183,IF(ADBT0=ADBT12,4,2))</f>
        <v>2</v>
      </c>
      <c r="G176" s="1122">
        <f>IFERROR(VLOOKUP(E176,L171:M176,2,FALSE),0)</f>
        <v>0</v>
      </c>
      <c r="H176" s="1318" t="s">
        <v>16</v>
      </c>
      <c r="I176" s="834"/>
      <c r="J176" s="824"/>
      <c r="K176" s="825"/>
      <c r="L176" s="835" t="str">
        <f>IF(F176=4,"Yes - 4 credits","")</f>
        <v/>
      </c>
      <c r="M176" s="836" t="str">
        <f>IF(F176=4,4,"")</f>
        <v/>
      </c>
      <c r="N176" s="830"/>
      <c r="O176" s="102" t="s">
        <v>1273</v>
      </c>
      <c r="P176" s="822"/>
      <c r="Q176" s="822"/>
      <c r="R176" s="822"/>
      <c r="S176" s="822"/>
      <c r="T176" s="822"/>
      <c r="U176" s="822" t="str">
        <f>$T$4</f>
        <v>No</v>
      </c>
      <c r="V176" s="822"/>
      <c r="W176" s="822"/>
      <c r="X176" s="822"/>
      <c r="Y176" s="823"/>
      <c r="Z176" s="823"/>
      <c r="AA176" s="823"/>
    </row>
    <row r="177" spans="1:33" ht="15.75" thickBot="1" x14ac:dyDescent="0.3">
      <c r="A177" s="1035">
        <v>168</v>
      </c>
      <c r="B177" s="1035" t="s">
        <v>50</v>
      </c>
      <c r="C177" s="1035" t="s">
        <v>125</v>
      </c>
      <c r="D177" s="1121" t="s">
        <v>380</v>
      </c>
      <c r="E177" s="1091" t="s">
        <v>360</v>
      </c>
      <c r="F177" s="1122">
        <f>IF(L181=AIS_Yes,N184,IF(ADBT0=ADBT12,0,1))</f>
        <v>1</v>
      </c>
      <c r="G177" s="1295">
        <f>IF(E177=AIS_Yes,F177,0)*IF(U177=AIS_No,1,IF(H177=AA177,R177,IF(H177=AB177,S177,IF(H177=AC177,T177,1))))</f>
        <v>0</v>
      </c>
      <c r="H177" s="1318" t="s">
        <v>16</v>
      </c>
      <c r="I177" s="824"/>
      <c r="J177" s="824"/>
      <c r="K177" s="825"/>
      <c r="L177" s="837">
        <f>IF(E176=AIS_No,0,IF(G176&gt;F176,F176,G176))</f>
        <v>0</v>
      </c>
      <c r="M177" s="821"/>
      <c r="N177" s="801"/>
      <c r="O177" s="1266">
        <v>1</v>
      </c>
      <c r="P177" s="1266">
        <v>0.5</v>
      </c>
      <c r="Q177" s="1267">
        <v>1</v>
      </c>
      <c r="R177" s="1258" t="str">
        <f>IF($T$4=AIS_Yes,O177,AIS_NA)</f>
        <v>N/A</v>
      </c>
      <c r="S177" s="1259" t="str">
        <f t="shared" ref="S177" si="1">IF($T$4=AIS_Yes,P177,AIS_NA)</f>
        <v>N/A</v>
      </c>
      <c r="T177" s="1074" t="str">
        <f t="shared" ref="T177" si="2">IF($T$4=AIS_Yes,Q177,AIS_NA)</f>
        <v>N/A</v>
      </c>
      <c r="U177" s="1265" t="str">
        <f>IF(AND($T$4=AIS_Yes,OR(R177&lt;&gt;AIS_NA,S177&lt;&gt;AIS_NA,T177&lt;&gt;AIS_NA)),AIS_Yes,AIS_No)</f>
        <v>No</v>
      </c>
      <c r="V177" s="1258" t="str">
        <f>AIS_option01</f>
        <v>N/A</v>
      </c>
      <c r="W177" s="1259" t="str">
        <f>AIS_option02_50</f>
        <v>Option 2: -50%</v>
      </c>
      <c r="X177" s="1272" t="str">
        <f>AIS_option03</f>
        <v>N/A</v>
      </c>
      <c r="Y177" s="1273"/>
      <c r="Z177" s="1282"/>
      <c r="AA177" s="1274" t="str">
        <f>IF(U177=AIS_Yes,V177,AIS_NA)</f>
        <v>N/A</v>
      </c>
      <c r="AB177" s="1274" t="str">
        <f>IF(U177=AIS_Yes,W177,AIS_NA)</f>
        <v>N/A</v>
      </c>
      <c r="AC177" s="1275" t="str">
        <f>IF(U177=AIS_Yes,X177,AIS_NA)</f>
        <v>N/A</v>
      </c>
      <c r="AD177" s="1276" t="str">
        <f>C177</f>
        <v>Hea 01</v>
      </c>
      <c r="AE177" s="1283" t="s">
        <v>1281</v>
      </c>
      <c r="AF177" s="1263" t="str">
        <f>H177</f>
        <v>N/A</v>
      </c>
      <c r="AG177" s="928">
        <f>IF(U177=AIS_No,1,IF(H177=AA177,R177,IF(H177=AB177,S177,IF(H177=AC177,T177,1))))</f>
        <v>1</v>
      </c>
    </row>
    <row r="178" spans="1:33" ht="15.75" thickBot="1" x14ac:dyDescent="0.3">
      <c r="A178" s="1035">
        <v>169</v>
      </c>
      <c r="B178" s="1035" t="s">
        <v>50</v>
      </c>
      <c r="C178" s="1035" t="s">
        <v>125</v>
      </c>
      <c r="D178" s="1123" t="s">
        <v>381</v>
      </c>
      <c r="E178" s="1100" t="s">
        <v>360</v>
      </c>
      <c r="F178" s="1124">
        <f>IF(L181=AIS_Yes,N185,IF(ADBT0=ADBT12,0,1))</f>
        <v>1</v>
      </c>
      <c r="G178" s="1294">
        <f>IF(E178=AIS_Yes,F178,0)*IF(U178=AIS_No,1,IF(H178=AA178,R178,IF(H178=AB178,S178,IF(H178=AC178,T178,1))))</f>
        <v>0</v>
      </c>
      <c r="H178" s="1321" t="s">
        <v>16</v>
      </c>
      <c r="I178" s="824"/>
      <c r="J178" s="824"/>
      <c r="K178" s="825"/>
      <c r="L178" s="820"/>
      <c r="M178" s="821"/>
      <c r="N178" s="801"/>
      <c r="O178" s="1266">
        <v>1</v>
      </c>
      <c r="P178" s="1266">
        <v>0.5</v>
      </c>
      <c r="Q178" s="1267">
        <v>1</v>
      </c>
      <c r="R178" s="1258" t="str">
        <f t="shared" ref="R178" si="3">IF($T$4=AIS_Yes,O178,AIS_NA)</f>
        <v>N/A</v>
      </c>
      <c r="S178" s="1259" t="str">
        <f t="shared" ref="S178" si="4">IF($T$4=AIS_Yes,P178,AIS_NA)</f>
        <v>N/A</v>
      </c>
      <c r="T178" s="1074" t="str">
        <f t="shared" ref="T178" si="5">IF($T$4=AIS_Yes,Q178,AIS_NA)</f>
        <v>N/A</v>
      </c>
      <c r="U178" s="1265" t="str">
        <f>IF(AND($T$4=AIS_Yes,OR(R178&lt;&gt;AIS_NA,S178&lt;&gt;AIS_NA,T178&lt;&gt;AIS_NA)),AIS_Yes,AIS_No)</f>
        <v>No</v>
      </c>
      <c r="V178" s="1258" t="str">
        <f>AIS_option01</f>
        <v>N/A</v>
      </c>
      <c r="W178" s="1259" t="str">
        <f>AIS_option02_50</f>
        <v>Option 2: -50%</v>
      </c>
      <c r="X178" s="1272" t="str">
        <f>AIS_option03</f>
        <v>N/A</v>
      </c>
      <c r="Y178" s="1273"/>
      <c r="Z178" s="1282"/>
      <c r="AA178" s="1274" t="str">
        <f>IF(U178=AIS_Yes,V178,AIS_NA)</f>
        <v>N/A</v>
      </c>
      <c r="AB178" s="1274" t="str">
        <f>IF(U178=AIS_Yes,W178,AIS_NA)</f>
        <v>N/A</v>
      </c>
      <c r="AC178" s="1275" t="str">
        <f>IF(U178=AIS_Yes,X178,AIS_NA)</f>
        <v>N/A</v>
      </c>
      <c r="AD178" s="1276" t="str">
        <f>C178</f>
        <v>Hea 01</v>
      </c>
      <c r="AE178" s="1283" t="s">
        <v>1282</v>
      </c>
      <c r="AF178" s="1263" t="str">
        <f>H178</f>
        <v>N/A</v>
      </c>
      <c r="AG178" s="928">
        <f>IF(U178=AIS_No,1,IF(H178=AA178,R178,IF(H178=AB178,S178,IF(H178=AC178,T178,1))))</f>
        <v>1</v>
      </c>
    </row>
    <row r="179" spans="1:33" x14ac:dyDescent="0.25">
      <c r="A179" s="1035">
        <v>170</v>
      </c>
      <c r="B179" s="1035" t="s">
        <v>50</v>
      </c>
      <c r="C179" s="1035" t="s">
        <v>125</v>
      </c>
      <c r="E179" s="1126"/>
      <c r="I179" s="824"/>
      <c r="J179" s="824"/>
      <c r="K179" s="825"/>
      <c r="L179" s="820"/>
      <c r="M179" s="821"/>
      <c r="N179" s="801"/>
      <c r="O179" s="822"/>
      <c r="P179" s="822"/>
      <c r="Q179" s="822"/>
      <c r="R179" s="822"/>
      <c r="S179" s="822"/>
      <c r="T179" s="822"/>
      <c r="U179" s="822"/>
      <c r="V179" s="822"/>
      <c r="W179" s="822"/>
      <c r="X179" s="822"/>
      <c r="Y179" s="823"/>
      <c r="Z179" s="823"/>
      <c r="AA179" s="823"/>
    </row>
    <row r="180" spans="1:33" x14ac:dyDescent="0.25">
      <c r="A180" s="1035">
        <v>171</v>
      </c>
      <c r="B180" s="1035" t="s">
        <v>50</v>
      </c>
      <c r="C180" s="1035" t="s">
        <v>125</v>
      </c>
      <c r="D180" s="1127" t="s">
        <v>356</v>
      </c>
      <c r="E180" s="1337">
        <f>IF(E175=AIS_No,0,L177+G177+G178)</f>
        <v>0</v>
      </c>
      <c r="I180" s="824"/>
      <c r="J180" s="824"/>
      <c r="K180" s="825"/>
      <c r="L180" s="1075" t="s">
        <v>1167</v>
      </c>
      <c r="M180" s="821"/>
      <c r="N180" s="801"/>
      <c r="O180" s="822"/>
      <c r="P180" s="822"/>
      <c r="Q180" s="822"/>
      <c r="R180" s="822"/>
      <c r="S180" s="822"/>
      <c r="T180" s="822"/>
      <c r="U180" s="822"/>
      <c r="V180" s="822"/>
      <c r="W180" s="822"/>
      <c r="X180" s="822"/>
      <c r="Y180" s="823"/>
      <c r="Z180" s="823"/>
      <c r="AA180" s="823"/>
    </row>
    <row r="181" spans="1:33" x14ac:dyDescent="0.25">
      <c r="A181" s="1035">
        <v>172</v>
      </c>
      <c r="B181" s="1035" t="s">
        <v>50</v>
      </c>
      <c r="C181" s="1035" t="s">
        <v>125</v>
      </c>
      <c r="D181" s="1129" t="s">
        <v>86</v>
      </c>
      <c r="E181" s="1130">
        <f>Hea01_27</f>
        <v>0</v>
      </c>
      <c r="I181" s="824"/>
      <c r="J181" s="824"/>
      <c r="K181" s="825"/>
      <c r="L181" s="820" t="str">
        <f>'Manuell filtrering og justering'!H2</f>
        <v>No</v>
      </c>
      <c r="M181" s="821"/>
      <c r="N181" s="801"/>
      <c r="O181" s="822"/>
      <c r="P181" s="822"/>
      <c r="Q181" s="822"/>
      <c r="R181" s="822"/>
      <c r="S181" s="822"/>
      <c r="T181" s="822"/>
      <c r="U181" s="822"/>
      <c r="V181" s="822"/>
      <c r="W181" s="822"/>
      <c r="X181" s="822"/>
      <c r="Y181" s="823"/>
      <c r="Z181" s="823"/>
      <c r="AA181" s="823"/>
    </row>
    <row r="182" spans="1:33" x14ac:dyDescent="0.25">
      <c r="A182" s="1035">
        <v>173</v>
      </c>
      <c r="B182" s="1035" t="s">
        <v>50</v>
      </c>
      <c r="C182" s="1035" t="s">
        <v>125</v>
      </c>
      <c r="D182" s="1131" t="s">
        <v>357</v>
      </c>
      <c r="E182" s="1128" t="s">
        <v>16</v>
      </c>
      <c r="I182" s="824"/>
      <c r="J182" s="824"/>
      <c r="K182" s="825"/>
      <c r="L182" s="820"/>
      <c r="M182" s="821"/>
      <c r="N182" s="801"/>
      <c r="O182" s="822"/>
      <c r="P182" s="822"/>
      <c r="Q182" s="822"/>
      <c r="R182" s="822"/>
      <c r="S182" s="822"/>
      <c r="T182" s="822"/>
      <c r="U182" s="822"/>
      <c r="V182" s="822"/>
      <c r="W182" s="822"/>
      <c r="X182" s="822"/>
      <c r="Y182" s="823"/>
      <c r="Z182" s="823"/>
      <c r="AA182" s="823"/>
    </row>
    <row r="183" spans="1:33" x14ac:dyDescent="0.25">
      <c r="A183" s="1035">
        <v>174</v>
      </c>
      <c r="B183" s="1035" t="s">
        <v>50</v>
      </c>
      <c r="C183" s="1035" t="s">
        <v>125</v>
      </c>
      <c r="D183" s="1132" t="s">
        <v>55</v>
      </c>
      <c r="E183" s="1133" t="str">
        <f>Hea01_minstd</f>
        <v>Unclassified</v>
      </c>
      <c r="F183" s="1134"/>
      <c r="G183" s="1135"/>
      <c r="I183" s="824"/>
      <c r="J183" s="824"/>
      <c r="K183" s="825"/>
      <c r="L183" s="820" t="s">
        <v>1237</v>
      </c>
      <c r="M183" s="821"/>
      <c r="N183" s="801">
        <f>'Manuell filtrering og justering'!S14</f>
        <v>2</v>
      </c>
      <c r="O183" s="822"/>
      <c r="P183" s="822"/>
      <c r="Q183" s="822"/>
      <c r="R183" s="822"/>
      <c r="S183" s="822"/>
      <c r="T183" s="822"/>
      <c r="U183" s="822"/>
      <c r="V183" s="822"/>
      <c r="W183" s="822"/>
      <c r="X183" s="822"/>
      <c r="Y183" s="823"/>
      <c r="Z183" s="823"/>
      <c r="AA183" s="823"/>
    </row>
    <row r="184" spans="1:33" x14ac:dyDescent="0.25">
      <c r="A184" s="1035">
        <v>175</v>
      </c>
      <c r="B184" s="1035" t="s">
        <v>50</v>
      </c>
      <c r="C184" s="1035" t="s">
        <v>125</v>
      </c>
      <c r="I184" s="824"/>
      <c r="J184" s="824"/>
      <c r="K184" s="825"/>
      <c r="L184" s="820" t="s">
        <v>380</v>
      </c>
      <c r="M184" s="821"/>
      <c r="N184" s="801">
        <f>'Manuell filtrering og justering'!S15</f>
        <v>1</v>
      </c>
      <c r="O184" s="822"/>
      <c r="P184" s="822"/>
      <c r="Q184" s="822"/>
      <c r="R184" s="822"/>
      <c r="S184" s="822"/>
      <c r="T184" s="822"/>
      <c r="U184" s="822"/>
      <c r="V184" s="822"/>
      <c r="W184" s="822"/>
      <c r="X184" s="822"/>
      <c r="Y184" s="823"/>
      <c r="Z184" s="823"/>
      <c r="AA184" s="823"/>
    </row>
    <row r="185" spans="1:33" x14ac:dyDescent="0.25">
      <c r="A185" s="1035">
        <v>176</v>
      </c>
      <c r="B185" s="1035" t="s">
        <v>50</v>
      </c>
      <c r="C185" s="1035" t="s">
        <v>125</v>
      </c>
      <c r="D185" s="1136" t="s">
        <v>359</v>
      </c>
      <c r="E185" s="1136" t="s">
        <v>977</v>
      </c>
      <c r="F185" s="1136" t="str">
        <f>HLOOKUP(C185,'Assessment References'!$H$512:$BG$513,2,FALSE)</f>
        <v/>
      </c>
      <c r="G185" s="1137"/>
      <c r="H185" s="1138"/>
      <c r="I185" s="824"/>
      <c r="J185" s="824"/>
      <c r="K185" s="825"/>
      <c r="L185" s="820" t="s">
        <v>1179</v>
      </c>
      <c r="M185" s="821"/>
      <c r="N185" s="801">
        <f>'Manuell filtrering og justering'!S16</f>
        <v>1</v>
      </c>
      <c r="O185" s="822"/>
      <c r="P185" s="822"/>
      <c r="Q185" s="822"/>
      <c r="R185" s="822"/>
      <c r="S185" s="822"/>
      <c r="T185" s="822"/>
      <c r="U185" s="822"/>
      <c r="V185" s="822"/>
      <c r="W185" s="822"/>
      <c r="X185" s="822"/>
      <c r="Y185" s="823"/>
      <c r="Z185" s="823"/>
      <c r="AA185" s="823"/>
    </row>
    <row r="186" spans="1:33" x14ac:dyDescent="0.25">
      <c r="A186" s="1035">
        <v>177</v>
      </c>
      <c r="B186" s="1035" t="s">
        <v>50</v>
      </c>
      <c r="C186" s="1035" t="s">
        <v>125</v>
      </c>
      <c r="D186" s="1363"/>
      <c r="E186" s="1352"/>
      <c r="F186" s="1352"/>
      <c r="G186" s="1352"/>
      <c r="H186" s="1353"/>
      <c r="I186" s="824"/>
      <c r="J186" s="824"/>
      <c r="K186" s="825"/>
      <c r="L186" s="820"/>
      <c r="M186" s="821"/>
      <c r="N186" s="801"/>
      <c r="O186" s="822"/>
      <c r="P186" s="822"/>
      <c r="Q186" s="822"/>
      <c r="R186" s="822"/>
      <c r="S186" s="822"/>
      <c r="T186" s="822"/>
      <c r="U186" s="822"/>
      <c r="V186" s="822"/>
      <c r="W186" s="822"/>
      <c r="X186" s="822"/>
      <c r="Y186" s="823"/>
      <c r="Z186" s="823"/>
      <c r="AA186" s="823"/>
    </row>
    <row r="187" spans="1:33" x14ac:dyDescent="0.25">
      <c r="A187" s="1035">
        <v>178</v>
      </c>
      <c r="B187" s="1035" t="s">
        <v>50</v>
      </c>
      <c r="C187" s="1035" t="s">
        <v>125</v>
      </c>
      <c r="D187" s="1354"/>
      <c r="E187" s="1355"/>
      <c r="F187" s="1355"/>
      <c r="G187" s="1355"/>
      <c r="H187" s="1356"/>
      <c r="I187" s="824"/>
      <c r="J187" s="824"/>
      <c r="K187" s="825"/>
      <c r="L187" s="820"/>
      <c r="M187" s="821"/>
      <c r="N187" s="801"/>
      <c r="O187" s="822"/>
      <c r="P187" s="822"/>
      <c r="Q187" s="822"/>
      <c r="R187" s="822"/>
      <c r="S187" s="822"/>
      <c r="T187" s="822"/>
      <c r="U187" s="822"/>
      <c r="V187" s="822"/>
      <c r="W187" s="822"/>
      <c r="X187" s="822"/>
      <c r="Y187" s="823"/>
      <c r="Z187" s="823"/>
      <c r="AA187" s="823"/>
    </row>
    <row r="188" spans="1:33" x14ac:dyDescent="0.25">
      <c r="A188" s="1035">
        <v>179</v>
      </c>
      <c r="B188" s="1035" t="s">
        <v>50</v>
      </c>
      <c r="C188" s="1035" t="s">
        <v>125</v>
      </c>
      <c r="D188" s="1354"/>
      <c r="E188" s="1355"/>
      <c r="F188" s="1355"/>
      <c r="G188" s="1355"/>
      <c r="H188" s="1356"/>
      <c r="I188" s="824"/>
      <c r="J188" s="824"/>
      <c r="K188" s="825"/>
      <c r="L188" s="820"/>
      <c r="M188" s="821"/>
      <c r="N188" s="801"/>
      <c r="O188" s="822"/>
      <c r="P188" s="822"/>
      <c r="Q188" s="822"/>
      <c r="R188" s="822"/>
      <c r="S188" s="822"/>
      <c r="T188" s="822"/>
      <c r="U188" s="822"/>
      <c r="V188" s="822"/>
      <c r="W188" s="822"/>
      <c r="X188" s="822"/>
      <c r="Y188" s="823"/>
      <c r="Z188" s="823"/>
      <c r="AA188" s="823"/>
    </row>
    <row r="189" spans="1:33" x14ac:dyDescent="0.25">
      <c r="A189" s="1035">
        <v>180</v>
      </c>
      <c r="B189" s="1035" t="s">
        <v>50</v>
      </c>
      <c r="C189" s="1035" t="s">
        <v>125</v>
      </c>
      <c r="D189" s="1364"/>
      <c r="E189" s="1358"/>
      <c r="F189" s="1358"/>
      <c r="G189" s="1358"/>
      <c r="H189" s="1359"/>
      <c r="I189" s="824"/>
      <c r="J189" s="824"/>
      <c r="K189" s="825"/>
      <c r="L189" s="820"/>
      <c r="M189" s="821"/>
      <c r="N189" s="801"/>
      <c r="O189" s="822"/>
      <c r="P189" s="822"/>
      <c r="Q189" s="822"/>
      <c r="R189" s="822"/>
      <c r="S189" s="822"/>
      <c r="T189" s="822"/>
      <c r="U189" s="822"/>
      <c r="V189" s="822"/>
      <c r="W189" s="822"/>
      <c r="X189" s="822"/>
      <c r="Y189" s="823"/>
      <c r="Z189" s="823"/>
      <c r="AA189" s="823"/>
    </row>
    <row r="190" spans="1:33" x14ac:dyDescent="0.25">
      <c r="A190" s="1035">
        <v>181</v>
      </c>
      <c r="B190" s="1035" t="s">
        <v>50</v>
      </c>
      <c r="C190" s="1035" t="s">
        <v>125</v>
      </c>
      <c r="D190" s="1364"/>
      <c r="E190" s="1358"/>
      <c r="F190" s="1358"/>
      <c r="G190" s="1358"/>
      <c r="H190" s="1359"/>
      <c r="I190" s="824"/>
      <c r="J190" s="824"/>
      <c r="K190" s="825"/>
      <c r="L190" s="820"/>
      <c r="M190" s="821"/>
      <c r="N190" s="801"/>
      <c r="O190" s="822"/>
      <c r="P190" s="822"/>
      <c r="Q190" s="822"/>
      <c r="R190" s="822"/>
      <c r="S190" s="822"/>
      <c r="T190" s="822"/>
      <c r="U190" s="822"/>
      <c r="V190" s="822"/>
      <c r="W190" s="822"/>
      <c r="X190" s="822"/>
      <c r="Y190" s="823"/>
      <c r="Z190" s="823"/>
      <c r="AA190" s="823"/>
    </row>
    <row r="191" spans="1:33" x14ac:dyDescent="0.25">
      <c r="A191" s="1035">
        <v>182</v>
      </c>
      <c r="B191" s="1035" t="s">
        <v>50</v>
      </c>
      <c r="C191" s="1035" t="s">
        <v>125</v>
      </c>
      <c r="D191" s="1360"/>
      <c r="E191" s="1361"/>
      <c r="F191" s="1361"/>
      <c r="G191" s="1361"/>
      <c r="H191" s="1362"/>
      <c r="I191" s="824"/>
      <c r="J191" s="824"/>
      <c r="K191" s="825"/>
      <c r="L191" s="820"/>
      <c r="M191" s="821"/>
      <c r="N191" s="801"/>
      <c r="O191" s="822"/>
      <c r="P191" s="822"/>
      <c r="Q191" s="822"/>
      <c r="R191" s="822"/>
      <c r="S191" s="822"/>
      <c r="T191" s="822"/>
      <c r="U191" s="822"/>
      <c r="V191" s="822"/>
      <c r="W191" s="822"/>
      <c r="X191" s="822"/>
      <c r="Y191" s="823"/>
      <c r="Z191" s="823"/>
      <c r="AA191" s="823"/>
    </row>
    <row r="192" spans="1:33" ht="15.75" thickBot="1" x14ac:dyDescent="0.3">
      <c r="A192" s="1035">
        <v>183</v>
      </c>
      <c r="B192" s="1035" t="s">
        <v>50</v>
      </c>
      <c r="C192" s="1035" t="s">
        <v>125</v>
      </c>
      <c r="D192" s="1156"/>
      <c r="E192" s="1156"/>
      <c r="F192" s="1156"/>
      <c r="G192" s="1156"/>
      <c r="H192" s="1156"/>
      <c r="I192" s="824"/>
      <c r="J192" s="824"/>
      <c r="K192" s="825"/>
      <c r="L192" s="820"/>
      <c r="M192" s="821"/>
      <c r="N192" s="801"/>
      <c r="O192" s="822"/>
      <c r="P192" s="822"/>
      <c r="Q192" s="822"/>
      <c r="R192" s="822"/>
      <c r="S192" s="822"/>
      <c r="T192" s="822"/>
      <c r="U192" s="822"/>
      <c r="V192" s="822"/>
      <c r="W192" s="822"/>
      <c r="X192" s="822"/>
      <c r="Y192" s="823"/>
      <c r="Z192" s="823"/>
      <c r="AA192" s="823"/>
    </row>
    <row r="193" spans="1:35" ht="15.75" thickBot="1" x14ac:dyDescent="0.3">
      <c r="A193" s="1037">
        <v>184</v>
      </c>
      <c r="B193" s="1037" t="s">
        <v>50</v>
      </c>
      <c r="C193" s="802" t="s">
        <v>126</v>
      </c>
      <c r="D193" s="1162" t="s">
        <v>885</v>
      </c>
      <c r="E193" s="1158"/>
      <c r="F193" s="1158"/>
      <c r="G193" s="1159"/>
      <c r="H193" s="1159"/>
      <c r="I193" s="824"/>
      <c r="J193" s="824"/>
      <c r="K193" s="825"/>
      <c r="L193" s="809" t="str">
        <f>C193</f>
        <v>Hea 02</v>
      </c>
      <c r="M193" s="821"/>
      <c r="N193" s="801"/>
      <c r="O193" s="822"/>
      <c r="P193" s="822"/>
      <c r="Q193" s="822"/>
      <c r="R193" s="822"/>
      <c r="S193" s="822"/>
      <c r="T193" s="822"/>
      <c r="U193" s="822"/>
      <c r="V193" s="822"/>
      <c r="W193" s="822"/>
      <c r="X193" s="822"/>
      <c r="Y193" s="823"/>
      <c r="Z193" s="823"/>
      <c r="AA193" s="823"/>
    </row>
    <row r="194" spans="1:35" x14ac:dyDescent="0.25">
      <c r="A194" s="1035">
        <v>185</v>
      </c>
      <c r="B194" s="1035" t="s">
        <v>50</v>
      </c>
      <c r="C194" s="1035" t="s">
        <v>126</v>
      </c>
      <c r="D194" s="1107" t="s">
        <v>17</v>
      </c>
      <c r="E194" s="1108">
        <f>Hea02_credits</f>
        <v>5</v>
      </c>
      <c r="F194" s="1109"/>
      <c r="G194" s="1110" t="s">
        <v>85</v>
      </c>
      <c r="H194" s="1111">
        <f>Hea02_25</f>
        <v>3.7499999999999999E-2</v>
      </c>
      <c r="I194" s="824"/>
      <c r="J194" s="824"/>
      <c r="K194" s="825"/>
      <c r="L194" s="838" t="s">
        <v>360</v>
      </c>
      <c r="M194" s="839">
        <v>0</v>
      </c>
      <c r="N194" s="830"/>
      <c r="O194" s="822"/>
      <c r="P194" s="822"/>
      <c r="Q194" s="822"/>
      <c r="R194" s="822"/>
      <c r="S194" s="822"/>
      <c r="T194" s="822"/>
      <c r="U194" s="822"/>
      <c r="V194" s="822"/>
      <c r="W194" s="822"/>
      <c r="X194" s="822"/>
      <c r="Y194" s="823"/>
      <c r="Z194" s="823"/>
      <c r="AA194" s="823"/>
    </row>
    <row r="195" spans="1:35" x14ac:dyDescent="0.25">
      <c r="A195" s="1035">
        <v>186</v>
      </c>
      <c r="B195" s="1035" t="s">
        <v>50</v>
      </c>
      <c r="C195" s="1035" t="s">
        <v>126</v>
      </c>
      <c r="D195" s="1112" t="s">
        <v>349</v>
      </c>
      <c r="E195" s="1113">
        <f>Inn02_credits</f>
        <v>1</v>
      </c>
      <c r="F195" s="1114"/>
      <c r="G195" s="1115" t="s">
        <v>350</v>
      </c>
      <c r="H195" s="1116" t="s">
        <v>14</v>
      </c>
      <c r="I195" s="824"/>
      <c r="J195" s="824"/>
      <c r="K195" s="825"/>
      <c r="L195" s="831" t="s">
        <v>873</v>
      </c>
      <c r="M195" s="832">
        <v>0</v>
      </c>
      <c r="N195" s="830"/>
      <c r="O195" s="822"/>
      <c r="P195" s="822"/>
      <c r="Q195" s="822"/>
      <c r="R195" s="822"/>
      <c r="S195" s="822"/>
      <c r="T195" s="822"/>
      <c r="U195" s="822"/>
      <c r="V195" s="822"/>
      <c r="W195" s="822"/>
      <c r="X195" s="822"/>
      <c r="Y195" s="823"/>
      <c r="Z195" s="823"/>
      <c r="AA195" s="823"/>
    </row>
    <row r="196" spans="1:35" x14ac:dyDescent="0.25">
      <c r="A196" s="1035">
        <v>187</v>
      </c>
      <c r="B196" s="1035" t="s">
        <v>50</v>
      </c>
      <c r="C196" s="1035" t="s">
        <v>126</v>
      </c>
      <c r="I196" s="824"/>
      <c r="J196" s="824"/>
      <c r="K196" s="825"/>
      <c r="L196" s="967" t="s">
        <v>1227</v>
      </c>
      <c r="M196" s="832">
        <v>1</v>
      </c>
      <c r="N196" s="830"/>
      <c r="O196" s="822"/>
      <c r="P196" s="822"/>
      <c r="Q196" s="822"/>
      <c r="R196" s="822"/>
      <c r="S196" s="822"/>
      <c r="T196" s="822"/>
      <c r="U196" s="822"/>
      <c r="V196" s="822"/>
      <c r="W196" s="822"/>
      <c r="X196" s="822"/>
      <c r="Y196" s="823"/>
      <c r="Z196" s="823"/>
      <c r="AA196" s="823"/>
    </row>
    <row r="197" spans="1:35" ht="15.75" thickBot="1" x14ac:dyDescent="0.3">
      <c r="A197" s="1035">
        <v>188</v>
      </c>
      <c r="B197" s="1035" t="s">
        <v>50</v>
      </c>
      <c r="C197" s="1035" t="s">
        <v>126</v>
      </c>
      <c r="D197" s="1117" t="s">
        <v>351</v>
      </c>
      <c r="E197" s="1118" t="s">
        <v>352</v>
      </c>
      <c r="F197" s="1118" t="s">
        <v>353</v>
      </c>
      <c r="G197" s="1118" t="s">
        <v>354</v>
      </c>
      <c r="H197" s="1118" t="s">
        <v>355</v>
      </c>
      <c r="I197" s="824"/>
      <c r="J197" s="824"/>
      <c r="K197" s="825"/>
      <c r="L197" s="967" t="s">
        <v>871</v>
      </c>
      <c r="M197" s="832">
        <v>1</v>
      </c>
      <c r="N197" s="830"/>
      <c r="O197" s="822"/>
      <c r="P197" s="822"/>
      <c r="Q197" s="822"/>
      <c r="R197" s="822"/>
      <c r="S197" s="822"/>
      <c r="T197" s="822"/>
      <c r="U197" s="822"/>
      <c r="V197" s="822"/>
      <c r="W197" s="822"/>
      <c r="X197" s="822"/>
      <c r="Y197" s="823"/>
      <c r="Z197" s="823"/>
      <c r="AA197" s="823"/>
    </row>
    <row r="198" spans="1:35" ht="15.75" thickBot="1" x14ac:dyDescent="0.3">
      <c r="A198" s="1035">
        <v>189</v>
      </c>
      <c r="B198" s="1035" t="s">
        <v>50</v>
      </c>
      <c r="C198" s="1035" t="s">
        <v>126</v>
      </c>
      <c r="D198" s="1119" t="s">
        <v>793</v>
      </c>
      <c r="E198" s="1163" t="s">
        <v>360</v>
      </c>
      <c r="F198" s="1120">
        <v>1</v>
      </c>
      <c r="G198" s="1120">
        <f>IF(E198=AIS_Yes,F198,0)</f>
        <v>0</v>
      </c>
      <c r="H198" s="1317" t="s">
        <v>16</v>
      </c>
      <c r="I198" s="824"/>
      <c r="J198" s="824"/>
      <c r="K198" s="825"/>
      <c r="L198" s="967" t="s">
        <v>1226</v>
      </c>
      <c r="M198" s="832">
        <v>2</v>
      </c>
      <c r="N198" s="830"/>
      <c r="O198" s="102" t="s">
        <v>1273</v>
      </c>
      <c r="P198" s="822"/>
      <c r="Q198" s="822"/>
      <c r="R198" s="822"/>
      <c r="S198" s="822"/>
      <c r="T198" s="822"/>
      <c r="U198" s="822" t="str">
        <f>$T$4</f>
        <v>No</v>
      </c>
      <c r="V198" s="822"/>
      <c r="W198" s="822"/>
      <c r="X198" s="822"/>
      <c r="Y198" s="823"/>
      <c r="Z198" s="823"/>
      <c r="AA198" s="823"/>
      <c r="AI198" s="768" t="s">
        <v>1292</v>
      </c>
    </row>
    <row r="199" spans="1:35" ht="15.75" thickBot="1" x14ac:dyDescent="0.3">
      <c r="A199" s="1035">
        <v>190</v>
      </c>
      <c r="B199" s="1035" t="s">
        <v>50</v>
      </c>
      <c r="C199" s="1035" t="s">
        <v>126</v>
      </c>
      <c r="D199" s="1160" t="s">
        <v>794</v>
      </c>
      <c r="E199" s="1164" t="s">
        <v>360</v>
      </c>
      <c r="F199" s="1161">
        <f>IF(E198=AIS_Yes,1,0)</f>
        <v>0</v>
      </c>
      <c r="G199" s="1122">
        <f>IF(E199=AIS_Yes,F199,0)*IF(U199=AIS_No,1,IF(H199=AA199,R199,IF(H199=AB199,S199,IF(H199=AC199,T199,1))))</f>
        <v>0</v>
      </c>
      <c r="H199" s="1318" t="s">
        <v>16</v>
      </c>
      <c r="I199" s="824"/>
      <c r="J199" s="824"/>
      <c r="K199" s="825"/>
      <c r="L199" s="968" t="s">
        <v>872</v>
      </c>
      <c r="M199" s="836">
        <v>2</v>
      </c>
      <c r="N199" s="830"/>
      <c r="O199" s="1266">
        <v>1</v>
      </c>
      <c r="P199" s="1266">
        <v>0</v>
      </c>
      <c r="Q199" s="1267">
        <v>1</v>
      </c>
      <c r="R199" s="1258" t="str">
        <f t="shared" ref="R199:R200" si="6">IF($T$4=AIS_Yes,O199,AIS_NA)</f>
        <v>N/A</v>
      </c>
      <c r="S199" s="1259" t="str">
        <f t="shared" ref="S199:S200" si="7">IF($T$4=AIS_Yes,P199,AIS_NA)</f>
        <v>N/A</v>
      </c>
      <c r="T199" s="1074" t="str">
        <f t="shared" ref="T199:T200" si="8">IF($T$4=AIS_Yes,Q199,AIS_NA)</f>
        <v>N/A</v>
      </c>
      <c r="U199" s="1265" t="str">
        <f>IF(AND($T$4=AIS_Yes,OR(R199&lt;&gt;AIS_NA,S199&lt;&gt;AIS_NA,T199&lt;&gt;AIS_NA)),AIS_Yes,AIS_No)</f>
        <v>No</v>
      </c>
      <c r="V199" s="1258" t="str">
        <f>AIS_option01</f>
        <v>N/A</v>
      </c>
      <c r="W199" s="1259" t="str">
        <f>AIS_option02a</f>
        <v>N/A</v>
      </c>
      <c r="X199" s="1272" t="str">
        <f>AIS_option03</f>
        <v>N/A</v>
      </c>
      <c r="Y199" s="1273"/>
      <c r="Z199" s="1282" t="str">
        <f>AIS_NA</f>
        <v>N/A</v>
      </c>
      <c r="AA199" s="1274" t="str">
        <f>IF(U199=AIS_Yes,V199,AIS_NA)</f>
        <v>N/A</v>
      </c>
      <c r="AB199" s="1274" t="str">
        <f>IF(U199=AIS_Yes,W199,AIS_NA)</f>
        <v>N/A</v>
      </c>
      <c r="AC199" s="1275" t="str">
        <f>IF(U199=AIS_Yes,X199,AIS_NA)</f>
        <v>N/A</v>
      </c>
      <c r="AD199" s="1276" t="str">
        <f>C199</f>
        <v>Hea 02</v>
      </c>
      <c r="AE199" s="1283" t="s">
        <v>1283</v>
      </c>
      <c r="AF199" s="1263" t="str">
        <f>H199</f>
        <v>N/A</v>
      </c>
      <c r="AG199" s="928">
        <f>IF(U199=AIS_No,1,IF(H199=AA199,R199,IF(H199=AB199,S199,IF(H199=AC199,T199,1))))</f>
        <v>1</v>
      </c>
    </row>
    <row r="200" spans="1:35" ht="15.75" thickBot="1" x14ac:dyDescent="0.3">
      <c r="A200" s="1035">
        <v>191</v>
      </c>
      <c r="B200" s="1035" t="s">
        <v>50</v>
      </c>
      <c r="C200" s="1035" t="s">
        <v>126</v>
      </c>
      <c r="D200" s="1121" t="s">
        <v>1091</v>
      </c>
      <c r="E200" s="1164" t="s">
        <v>360</v>
      </c>
      <c r="F200" s="1161">
        <f>IF(E198=AIS_Yes,2,0)</f>
        <v>0</v>
      </c>
      <c r="G200" s="1295">
        <f>IF(F200=0,0,VLOOKUP(E200,L194:M199,2,FALSE))*IF(U200=AIS_No,1,IF(H200=AA200,R200,IF(H200=AB200,S200,IF(H200=AC200,T200,1))))</f>
        <v>0</v>
      </c>
      <c r="H200" s="1318" t="s">
        <v>16</v>
      </c>
      <c r="I200" s="824"/>
      <c r="J200" s="824"/>
      <c r="K200" s="825"/>
      <c r="L200" s="840"/>
      <c r="M200" s="821"/>
      <c r="N200" s="801"/>
      <c r="O200" s="1266">
        <v>1</v>
      </c>
      <c r="P200" s="1266">
        <v>0.5</v>
      </c>
      <c r="Q200" s="1267">
        <v>1</v>
      </c>
      <c r="R200" s="1258" t="str">
        <f t="shared" si="6"/>
        <v>N/A</v>
      </c>
      <c r="S200" s="1259" t="str">
        <f t="shared" si="7"/>
        <v>N/A</v>
      </c>
      <c r="T200" s="1074" t="str">
        <f t="shared" si="8"/>
        <v>N/A</v>
      </c>
      <c r="U200" s="1265" t="str">
        <f>IF(AND($T$4=AIS_Yes,OR(R200&lt;&gt;AIS_NA,S200&lt;&gt;AIS_NA,T200&lt;&gt;AIS_NA)),AIS_Yes,AIS_No)</f>
        <v>No</v>
      </c>
      <c r="V200" s="1258" t="str">
        <f>AIS_option01</f>
        <v>N/A</v>
      </c>
      <c r="W200" s="1259" t="str">
        <f>AIS_option02_50</f>
        <v>Option 2: -50%</v>
      </c>
      <c r="X200" s="1272" t="str">
        <f>AIS_option03</f>
        <v>N/A</v>
      </c>
      <c r="Y200" s="1273"/>
      <c r="Z200" s="1282"/>
      <c r="AA200" s="1274" t="str">
        <f>IF(U200=AIS_Yes,V200,AIS_NA)</f>
        <v>N/A</v>
      </c>
      <c r="AB200" s="1274" t="str">
        <f>IF(U200=AIS_Yes,W200,AIS_NA)</f>
        <v>N/A</v>
      </c>
      <c r="AC200" s="1275" t="str">
        <f>IF(U200=AIS_Yes,X200,AIS_NA)</f>
        <v>N/A</v>
      </c>
      <c r="AD200" s="1276" t="str">
        <f>C200</f>
        <v>Hea 02</v>
      </c>
      <c r="AE200" s="1283" t="s">
        <v>1290</v>
      </c>
      <c r="AF200" s="1263" t="str">
        <f>H200</f>
        <v>N/A</v>
      </c>
      <c r="AG200" s="928">
        <f>IF(U200=AIS_No,1,IF(H200=AA200,R200,IF(H200=AB200,S200,IF(H200=AC200,T200,1))))</f>
        <v>1</v>
      </c>
      <c r="AI200" s="768">
        <f>IF($F$200=0,0,VLOOKUP($E$200,$L$194:$M$199,2,FALSE))</f>
        <v>0</v>
      </c>
    </row>
    <row r="201" spans="1:35" x14ac:dyDescent="0.25">
      <c r="A201" s="1035">
        <v>192</v>
      </c>
      <c r="B201" s="1035" t="s">
        <v>50</v>
      </c>
      <c r="C201" s="1035" t="s">
        <v>126</v>
      </c>
      <c r="D201" s="1160" t="s">
        <v>795</v>
      </c>
      <c r="E201" s="1165" t="s">
        <v>360</v>
      </c>
      <c r="F201" s="1161">
        <v>1</v>
      </c>
      <c r="G201" s="1122">
        <f>IF(E201=AIS_Yes,F201,0)</f>
        <v>0</v>
      </c>
      <c r="H201" s="1318" t="s">
        <v>16</v>
      </c>
      <c r="I201" s="824"/>
      <c r="J201" s="824"/>
      <c r="K201" s="825"/>
      <c r="L201" s="841" t="str">
        <f>ADBT0</f>
        <v>Office</v>
      </c>
      <c r="M201" s="821"/>
      <c r="N201" s="801"/>
      <c r="O201" s="102" t="s">
        <v>1273</v>
      </c>
      <c r="P201" s="822"/>
      <c r="Q201" s="822"/>
      <c r="R201" s="822"/>
      <c r="S201" s="822"/>
      <c r="T201" s="822"/>
      <c r="U201" s="822" t="str">
        <f>$T$4</f>
        <v>No</v>
      </c>
      <c r="V201" s="822"/>
      <c r="W201" s="822"/>
      <c r="X201" s="822"/>
      <c r="Y201" s="823"/>
      <c r="Z201" s="823"/>
      <c r="AA201" s="823"/>
    </row>
    <row r="202" spans="1:35" ht="15.75" thickBot="1" x14ac:dyDescent="0.3">
      <c r="A202" s="1035">
        <v>193</v>
      </c>
      <c r="B202" s="1035" t="s">
        <v>50</v>
      </c>
      <c r="C202" s="1035" t="s">
        <v>126</v>
      </c>
      <c r="D202" s="1121" t="s">
        <v>796</v>
      </c>
      <c r="E202" s="1091" t="s">
        <v>360</v>
      </c>
      <c r="F202" s="1122">
        <f>IF(L206=AIS_Yes,IF(OR(N210=1,N210=2),1,0),IF(L201=L202,0,IF(L203=2,0,1)))</f>
        <v>0</v>
      </c>
      <c r="G202" s="1122">
        <f>IF(AND(E202=AIS_Yes,E203=AIS_Yes),F202,0)</f>
        <v>0</v>
      </c>
      <c r="H202" s="1318" t="s">
        <v>16</v>
      </c>
      <c r="I202" s="824"/>
      <c r="J202" s="824"/>
      <c r="K202" s="825"/>
      <c r="L202" s="842" t="str">
        <f>ADBT12</f>
        <v>Residential</v>
      </c>
      <c r="M202" s="821"/>
      <c r="N202" s="801"/>
      <c r="O202" s="102" t="s">
        <v>1273</v>
      </c>
      <c r="P202" s="822"/>
      <c r="Q202" s="822"/>
      <c r="R202" s="822"/>
      <c r="S202" s="822"/>
      <c r="T202" s="822"/>
      <c r="U202" s="822" t="str">
        <f>$T$4</f>
        <v>No</v>
      </c>
      <c r="V202" s="822"/>
      <c r="W202" s="822"/>
      <c r="X202" s="822"/>
      <c r="Y202" s="823"/>
      <c r="Z202" s="823"/>
      <c r="AA202" s="823"/>
    </row>
    <row r="203" spans="1:35" ht="15.75" thickBot="1" x14ac:dyDescent="0.3">
      <c r="A203" s="1035">
        <v>194</v>
      </c>
      <c r="B203" s="1035" t="s">
        <v>50</v>
      </c>
      <c r="C203" s="1035" t="s">
        <v>126</v>
      </c>
      <c r="D203" s="1121" t="s">
        <v>797</v>
      </c>
      <c r="E203" s="505" t="s">
        <v>360</v>
      </c>
      <c r="F203" s="1161"/>
      <c r="G203" s="1161"/>
      <c r="H203" s="1326"/>
      <c r="I203" s="824"/>
      <c r="J203" s="824"/>
      <c r="K203" s="825"/>
      <c r="L203" s="843">
        <f>Poeng!L20</f>
        <v>2</v>
      </c>
      <c r="M203" s="821"/>
      <c r="N203" s="801"/>
      <c r="O203" s="102" t="s">
        <v>1273</v>
      </c>
      <c r="P203" s="822"/>
      <c r="Q203" s="822"/>
      <c r="R203" s="822"/>
      <c r="S203" s="822"/>
      <c r="T203" s="822"/>
      <c r="U203" s="822" t="str">
        <f>$T$4</f>
        <v>No</v>
      </c>
      <c r="V203" s="822"/>
      <c r="W203" s="822"/>
      <c r="X203" s="822"/>
      <c r="Y203" s="823"/>
      <c r="Z203" s="823"/>
      <c r="AA203" s="823"/>
    </row>
    <row r="204" spans="1:35" ht="15.75" thickBot="1" x14ac:dyDescent="0.3">
      <c r="A204" s="1035">
        <v>195</v>
      </c>
      <c r="B204" s="1035" t="s">
        <v>50</v>
      </c>
      <c r="C204" s="1035" t="s">
        <v>126</v>
      </c>
      <c r="D204" s="1123" t="s">
        <v>798</v>
      </c>
      <c r="E204" s="1092" t="s">
        <v>360</v>
      </c>
      <c r="F204" s="1124">
        <f>IF(L206=AIS_Yes,IF(N210=2,1,0),IF(L201=L202,0,IF(L203=0,1,0)))</f>
        <v>0</v>
      </c>
      <c r="G204" s="1124">
        <f>IF(E204=AIS_Yes,F204,0)</f>
        <v>0</v>
      </c>
      <c r="H204" s="1141" t="s">
        <v>16</v>
      </c>
      <c r="I204" s="824"/>
      <c r="J204" s="824"/>
      <c r="K204" s="825"/>
      <c r="L204" s="820"/>
      <c r="M204" s="821"/>
      <c r="N204" s="801"/>
      <c r="O204" s="102" t="s">
        <v>1273</v>
      </c>
      <c r="P204" s="822"/>
      <c r="Q204" s="822"/>
      <c r="R204" s="822"/>
      <c r="S204" s="822"/>
      <c r="T204" s="822"/>
      <c r="U204" s="822" t="str">
        <f>$T$4</f>
        <v>No</v>
      </c>
      <c r="V204" s="822"/>
      <c r="W204" s="822"/>
      <c r="X204" s="822"/>
      <c r="Y204" s="823"/>
      <c r="Z204" s="823"/>
      <c r="AA204" s="823"/>
    </row>
    <row r="205" spans="1:35" ht="15.75" thickBot="1" x14ac:dyDescent="0.3">
      <c r="A205" s="1035">
        <v>196</v>
      </c>
      <c r="B205" s="1035" t="s">
        <v>50</v>
      </c>
      <c r="C205" s="1035" t="s">
        <v>126</v>
      </c>
      <c r="I205" s="824"/>
      <c r="J205" s="824"/>
      <c r="K205" s="825"/>
      <c r="L205" s="820" t="s">
        <v>1167</v>
      </c>
      <c r="M205" s="821"/>
      <c r="N205" s="801"/>
      <c r="O205" s="822"/>
      <c r="P205" s="822"/>
      <c r="Q205" s="822"/>
      <c r="R205" s="822"/>
      <c r="S205" s="822"/>
      <c r="T205" s="822"/>
      <c r="U205" s="822"/>
      <c r="V205" s="822"/>
      <c r="W205" s="822"/>
      <c r="X205" s="822"/>
      <c r="Y205" s="823"/>
      <c r="Z205" s="823"/>
      <c r="AA205" s="823"/>
    </row>
    <row r="206" spans="1:35" x14ac:dyDescent="0.25">
      <c r="A206" s="1035">
        <v>197</v>
      </c>
      <c r="B206" s="1035" t="s">
        <v>50</v>
      </c>
      <c r="C206" s="1035" t="s">
        <v>126</v>
      </c>
      <c r="D206" s="1119" t="s">
        <v>870</v>
      </c>
      <c r="E206" s="1093" t="s">
        <v>360</v>
      </c>
      <c r="F206" s="1139">
        <f>IF(G200=0,0,E195)</f>
        <v>0</v>
      </c>
      <c r="G206" s="1139">
        <f>IF(AND(E206=AIS_Yes,E207=AIS_Yes,E210&lt;&gt;"",E211&lt;&gt;""),F206,0)</f>
        <v>0</v>
      </c>
      <c r="H206" s="1320" t="s">
        <v>16</v>
      </c>
      <c r="I206" s="824"/>
      <c r="J206" s="824"/>
      <c r="K206" s="825"/>
      <c r="L206" s="820" t="str">
        <f>'Manuell filtrering og justering'!H2</f>
        <v>No</v>
      </c>
      <c r="M206" s="821"/>
      <c r="N206" s="801"/>
      <c r="O206" s="102" t="s">
        <v>1273</v>
      </c>
      <c r="P206" s="822"/>
      <c r="Q206" s="822"/>
      <c r="R206" s="822"/>
      <c r="S206" s="822"/>
      <c r="T206" s="822"/>
      <c r="U206" s="822" t="str">
        <f>$T$4</f>
        <v>No</v>
      </c>
      <c r="V206" s="822"/>
      <c r="W206" s="822"/>
      <c r="X206" s="822"/>
      <c r="Y206" s="823"/>
      <c r="Z206" s="823"/>
      <c r="AA206" s="823"/>
    </row>
    <row r="207" spans="1:35" ht="15.75" thickBot="1" x14ac:dyDescent="0.3">
      <c r="A207" s="1035">
        <v>198</v>
      </c>
      <c r="B207" s="1035" t="s">
        <v>50</v>
      </c>
      <c r="C207" s="1035" t="s">
        <v>126</v>
      </c>
      <c r="D207" s="1166" t="s">
        <v>861</v>
      </c>
      <c r="E207" s="1092" t="s">
        <v>360</v>
      </c>
      <c r="F207" s="1140"/>
      <c r="G207" s="1140"/>
      <c r="H207" s="1321"/>
      <c r="I207" s="824"/>
      <c r="J207" s="824"/>
      <c r="K207" s="825"/>
      <c r="L207" s="820"/>
      <c r="M207" s="821"/>
      <c r="N207" s="801"/>
      <c r="O207" s="102" t="s">
        <v>1273</v>
      </c>
      <c r="P207" s="822"/>
      <c r="Q207" s="822"/>
      <c r="R207" s="822"/>
      <c r="S207" s="822"/>
      <c r="T207" s="822"/>
      <c r="U207" s="822" t="str">
        <f>$T$4</f>
        <v>No</v>
      </c>
      <c r="V207" s="822"/>
      <c r="W207" s="822"/>
      <c r="X207" s="822"/>
      <c r="Y207" s="823"/>
      <c r="Z207" s="823"/>
      <c r="AA207" s="823"/>
    </row>
    <row r="208" spans="1:35" x14ac:dyDescent="0.25">
      <c r="A208" s="1035">
        <v>199</v>
      </c>
      <c r="B208" s="1035" t="s">
        <v>50</v>
      </c>
      <c r="C208" s="1035" t="s">
        <v>126</v>
      </c>
      <c r="I208" s="824"/>
      <c r="J208" s="824"/>
      <c r="K208" s="825"/>
      <c r="L208" s="820" t="s">
        <v>1238</v>
      </c>
      <c r="M208" s="821"/>
      <c r="N208" s="801">
        <f>'Manuell filtrering og justering'!S17</f>
        <v>4</v>
      </c>
      <c r="O208" s="822"/>
      <c r="P208" s="822"/>
      <c r="Q208" s="822"/>
      <c r="R208" s="822"/>
      <c r="S208" s="822"/>
      <c r="T208" s="822"/>
      <c r="U208" s="822"/>
      <c r="V208" s="822"/>
      <c r="W208" s="822"/>
      <c r="X208" s="822"/>
      <c r="Y208" s="823"/>
      <c r="Z208" s="823"/>
      <c r="AA208" s="823"/>
    </row>
    <row r="209" spans="1:27" ht="15.75" thickBot="1" x14ac:dyDescent="0.3">
      <c r="A209" s="1035">
        <v>200</v>
      </c>
      <c r="B209" s="1035" t="s">
        <v>50</v>
      </c>
      <c r="C209" s="1035" t="s">
        <v>126</v>
      </c>
      <c r="D209" s="1117" t="s">
        <v>382</v>
      </c>
      <c r="E209" s="1118"/>
      <c r="I209" s="824"/>
      <c r="J209" s="824"/>
      <c r="K209" s="825"/>
      <c r="L209" s="820" t="s">
        <v>795</v>
      </c>
      <c r="M209" s="821"/>
      <c r="N209" s="801">
        <f>'Manuell filtrering og justering'!S18</f>
        <v>1</v>
      </c>
      <c r="O209" s="822"/>
      <c r="P209" s="822"/>
      <c r="Q209" s="822"/>
      <c r="R209" s="822"/>
      <c r="S209" s="822"/>
      <c r="T209" s="822"/>
      <c r="U209" s="822"/>
      <c r="V209" s="822"/>
      <c r="W209" s="822"/>
      <c r="X209" s="822"/>
      <c r="Y209" s="823"/>
      <c r="Z209" s="823"/>
      <c r="AA209" s="823"/>
    </row>
    <row r="210" spans="1:27" x14ac:dyDescent="0.25">
      <c r="A210" s="1035">
        <v>201</v>
      </c>
      <c r="B210" s="1035" t="s">
        <v>50</v>
      </c>
      <c r="C210" s="1035" t="s">
        <v>126</v>
      </c>
      <c r="D210" s="1119" t="s">
        <v>383</v>
      </c>
      <c r="E210" s="1093"/>
      <c r="F210" s="768" t="str">
        <f>IF(AND($F$206=1,OR($E$206=AIS_No,E206=AIS_PS)),"","µg/m3")</f>
        <v>µg/m3</v>
      </c>
      <c r="G210" s="1145" t="str">
        <f>IF(G200=0,"",IF(AND(E206=AIS_Yes,KPI_18=""),"If data not available then insert INA (i.e. Indicator not assessed)",""))</f>
        <v/>
      </c>
      <c r="I210" s="824"/>
      <c r="J210" s="824"/>
      <c r="K210" s="783"/>
      <c r="L210" s="820" t="s">
        <v>1181</v>
      </c>
      <c r="M210" s="821"/>
      <c r="N210" s="801">
        <f>'Manuell filtrering og justering'!S19</f>
        <v>0</v>
      </c>
      <c r="O210" s="822"/>
      <c r="P210" s="822"/>
      <c r="Q210" s="822"/>
      <c r="R210" s="822"/>
      <c r="S210" s="822"/>
      <c r="T210" s="822"/>
      <c r="U210" s="822"/>
      <c r="V210" s="822"/>
      <c r="W210" s="822"/>
      <c r="X210" s="822"/>
      <c r="Y210" s="823"/>
      <c r="Z210" s="823"/>
      <c r="AA210" s="823"/>
    </row>
    <row r="211" spans="1:27" ht="15.75" thickBot="1" x14ac:dyDescent="0.3">
      <c r="A211" s="1035">
        <v>202</v>
      </c>
      <c r="B211" s="1035" t="s">
        <v>50</v>
      </c>
      <c r="C211" s="1035" t="s">
        <v>126</v>
      </c>
      <c r="D211" s="1123" t="s">
        <v>384</v>
      </c>
      <c r="E211" s="1092"/>
      <c r="F211" s="768" t="str">
        <f>IF(AND($F$206=1,OR($E$207=AIS_No,E207=AIS_PS)),"","µg/m3")</f>
        <v>µg/m3</v>
      </c>
      <c r="G211" s="1145" t="str">
        <f>IF(G200=0,"",IF(AND(E207=AIS_Yes,KPI_19=""),"If data not available then insert INA (i.e. Indicator not assessed)",""))</f>
        <v/>
      </c>
      <c r="I211" s="824"/>
      <c r="J211" s="824"/>
      <c r="K211" s="783"/>
      <c r="L211" s="820"/>
      <c r="M211" s="821"/>
      <c r="N211" s="801"/>
      <c r="O211" s="822"/>
      <c r="P211" s="822"/>
      <c r="Q211" s="822"/>
      <c r="R211" s="822"/>
      <c r="S211" s="822"/>
      <c r="T211" s="822"/>
      <c r="U211" s="822"/>
      <c r="V211" s="822"/>
      <c r="W211" s="822"/>
      <c r="X211" s="822"/>
      <c r="Y211" s="823"/>
      <c r="Z211" s="823"/>
      <c r="AA211" s="823"/>
    </row>
    <row r="212" spans="1:27" x14ac:dyDescent="0.25">
      <c r="A212" s="1035">
        <v>203</v>
      </c>
      <c r="B212" s="1035" t="s">
        <v>50</v>
      </c>
      <c r="C212" s="1035" t="s">
        <v>126</v>
      </c>
      <c r="I212" s="824"/>
      <c r="J212" s="824"/>
      <c r="K212" s="825"/>
      <c r="L212" s="820"/>
      <c r="M212" s="821"/>
      <c r="N212" s="801"/>
      <c r="O212" s="822"/>
      <c r="P212" s="822"/>
      <c r="Q212" s="822"/>
      <c r="R212" s="822"/>
      <c r="S212" s="822"/>
      <c r="T212" s="822"/>
      <c r="U212" s="822"/>
      <c r="V212" s="822"/>
      <c r="W212" s="822"/>
      <c r="X212" s="822"/>
      <c r="Y212" s="823"/>
      <c r="Z212" s="823"/>
      <c r="AA212" s="823"/>
    </row>
    <row r="213" spans="1:27" x14ac:dyDescent="0.25">
      <c r="A213" s="1035">
        <v>204</v>
      </c>
      <c r="B213" s="1035" t="s">
        <v>50</v>
      </c>
      <c r="C213" s="1035" t="s">
        <v>126</v>
      </c>
      <c r="D213" s="1127" t="s">
        <v>356</v>
      </c>
      <c r="E213" s="1337">
        <f>SUM(G198:G204)</f>
        <v>0</v>
      </c>
      <c r="I213" s="824"/>
      <c r="J213" s="824"/>
      <c r="K213" s="825"/>
      <c r="L213" s="820"/>
      <c r="M213" s="821"/>
      <c r="N213" s="801"/>
      <c r="O213" s="822"/>
      <c r="P213" s="822"/>
      <c r="Q213" s="822"/>
      <c r="R213" s="822"/>
      <c r="S213" s="822"/>
      <c r="T213" s="822"/>
      <c r="U213" s="822"/>
      <c r="V213" s="822"/>
      <c r="W213" s="822"/>
      <c r="X213" s="822"/>
      <c r="Y213" s="823"/>
      <c r="Z213" s="823"/>
      <c r="AA213" s="823"/>
    </row>
    <row r="214" spans="1:27" x14ac:dyDescent="0.25">
      <c r="A214" s="1035">
        <v>205</v>
      </c>
      <c r="B214" s="1035" t="s">
        <v>50</v>
      </c>
      <c r="C214" s="1035" t="s">
        <v>126</v>
      </c>
      <c r="D214" s="1129" t="s">
        <v>86</v>
      </c>
      <c r="E214" s="1130">
        <f>Hea02_26</f>
        <v>0</v>
      </c>
      <c r="I214" s="824"/>
      <c r="J214" s="824"/>
      <c r="K214" s="825"/>
      <c r="L214" s="820"/>
      <c r="M214" s="821"/>
      <c r="N214" s="801"/>
      <c r="O214" s="822"/>
      <c r="P214" s="822"/>
      <c r="Q214" s="822"/>
      <c r="R214" s="822"/>
      <c r="S214" s="822"/>
      <c r="T214" s="822"/>
      <c r="U214" s="822"/>
      <c r="V214" s="822"/>
      <c r="W214" s="822"/>
      <c r="X214" s="822"/>
      <c r="Y214" s="823"/>
      <c r="Z214" s="823"/>
      <c r="AA214" s="823"/>
    </row>
    <row r="215" spans="1:27" x14ac:dyDescent="0.25">
      <c r="A215" s="1035">
        <v>206</v>
      </c>
      <c r="B215" s="1035" t="s">
        <v>50</v>
      </c>
      <c r="C215" s="1035" t="s">
        <v>126</v>
      </c>
      <c r="D215" s="1131" t="s">
        <v>357</v>
      </c>
      <c r="E215" s="1128">
        <f>G206</f>
        <v>0</v>
      </c>
      <c r="I215" s="824"/>
      <c r="J215" s="824"/>
      <c r="K215" s="825"/>
      <c r="L215" s="820"/>
      <c r="M215" s="821"/>
      <c r="N215" s="801"/>
      <c r="O215" s="822"/>
      <c r="P215" s="822"/>
      <c r="Q215" s="822"/>
      <c r="R215" s="822"/>
      <c r="S215" s="822"/>
      <c r="T215" s="822"/>
      <c r="U215" s="822"/>
      <c r="V215" s="822"/>
      <c r="W215" s="822"/>
      <c r="X215" s="822"/>
      <c r="Y215" s="823"/>
      <c r="Z215" s="823"/>
      <c r="AA215" s="823"/>
    </row>
    <row r="216" spans="1:27" x14ac:dyDescent="0.25">
      <c r="A216" s="1035">
        <v>207</v>
      </c>
      <c r="B216" s="1035" t="s">
        <v>50</v>
      </c>
      <c r="C216" s="1035" t="s">
        <v>126</v>
      </c>
      <c r="D216" s="1132" t="s">
        <v>55</v>
      </c>
      <c r="E216" s="1133" t="str">
        <f>Hea02_minstd</f>
        <v>Good</v>
      </c>
      <c r="F216" s="1134"/>
      <c r="G216" s="1135"/>
      <c r="I216" s="824"/>
      <c r="J216" s="824"/>
      <c r="K216" s="825"/>
      <c r="L216" s="820"/>
      <c r="M216" s="821"/>
      <c r="N216" s="801"/>
      <c r="O216" s="822"/>
      <c r="P216" s="822"/>
      <c r="Q216" s="822"/>
      <c r="R216" s="822"/>
      <c r="S216" s="822"/>
      <c r="T216" s="822"/>
      <c r="U216" s="822"/>
      <c r="V216" s="822"/>
      <c r="W216" s="822"/>
      <c r="X216" s="822"/>
      <c r="Y216" s="823"/>
      <c r="Z216" s="823"/>
      <c r="AA216" s="823"/>
    </row>
    <row r="217" spans="1:27" x14ac:dyDescent="0.25">
      <c r="A217" s="1035">
        <v>208</v>
      </c>
      <c r="B217" s="1035" t="s">
        <v>50</v>
      </c>
      <c r="C217" s="1035" t="s">
        <v>126</v>
      </c>
      <c r="I217" s="824"/>
      <c r="J217" s="824"/>
      <c r="K217" s="825"/>
      <c r="L217" s="820"/>
      <c r="M217" s="821"/>
      <c r="N217" s="801"/>
      <c r="O217" s="822"/>
      <c r="P217" s="822"/>
      <c r="Q217" s="822"/>
      <c r="R217" s="822"/>
      <c r="S217" s="822"/>
      <c r="T217" s="822"/>
      <c r="U217" s="822"/>
      <c r="V217" s="822"/>
      <c r="W217" s="822"/>
      <c r="X217" s="822"/>
      <c r="Y217" s="823"/>
      <c r="Z217" s="823"/>
      <c r="AA217" s="823"/>
    </row>
    <row r="218" spans="1:27" x14ac:dyDescent="0.25">
      <c r="A218" s="1035">
        <v>209</v>
      </c>
      <c r="B218" s="1035" t="s">
        <v>50</v>
      </c>
      <c r="C218" s="1035" t="s">
        <v>126</v>
      </c>
      <c r="D218" s="1136" t="s">
        <v>359</v>
      </c>
      <c r="E218" s="1136" t="s">
        <v>977</v>
      </c>
      <c r="F218" s="1136" t="str">
        <f>HLOOKUP(C218,'Assessment References'!$H$512:$BG$513,2,FALSE)</f>
        <v/>
      </c>
      <c r="G218" s="1137"/>
      <c r="H218" s="1138"/>
      <c r="I218" s="824"/>
      <c r="J218" s="824"/>
      <c r="K218" s="825"/>
      <c r="L218" s="820"/>
      <c r="M218" s="821"/>
      <c r="N218" s="801"/>
      <c r="O218" s="822"/>
      <c r="P218" s="822"/>
      <c r="Q218" s="822"/>
      <c r="R218" s="822"/>
      <c r="S218" s="822"/>
      <c r="T218" s="822"/>
      <c r="U218" s="822"/>
      <c r="V218" s="822"/>
      <c r="W218" s="822"/>
      <c r="X218" s="822"/>
      <c r="Y218" s="823"/>
      <c r="Z218" s="823"/>
      <c r="AA218" s="823"/>
    </row>
    <row r="219" spans="1:27" x14ac:dyDescent="0.25">
      <c r="A219" s="1035">
        <v>210</v>
      </c>
      <c r="B219" s="1035" t="s">
        <v>50</v>
      </c>
      <c r="C219" s="1035" t="s">
        <v>126</v>
      </c>
      <c r="D219" s="1363"/>
      <c r="E219" s="1352"/>
      <c r="F219" s="1352"/>
      <c r="G219" s="1352"/>
      <c r="H219" s="1353"/>
      <c r="I219" s="824"/>
      <c r="J219" s="824"/>
      <c r="K219" s="825"/>
      <c r="L219" s="820"/>
      <c r="M219" s="821"/>
      <c r="N219" s="801"/>
      <c r="O219" s="822"/>
      <c r="P219" s="822"/>
      <c r="Q219" s="822"/>
      <c r="R219" s="822"/>
      <c r="S219" s="822"/>
      <c r="T219" s="822"/>
      <c r="U219" s="822"/>
      <c r="V219" s="822"/>
      <c r="W219" s="822"/>
      <c r="X219" s="822"/>
      <c r="Y219" s="823"/>
      <c r="Z219" s="823"/>
      <c r="AA219" s="823"/>
    </row>
    <row r="220" spans="1:27" x14ac:dyDescent="0.25">
      <c r="A220" s="1035">
        <v>211</v>
      </c>
      <c r="B220" s="1035" t="s">
        <v>50</v>
      </c>
      <c r="C220" s="1035" t="s">
        <v>126</v>
      </c>
      <c r="D220" s="1354"/>
      <c r="E220" s="1355"/>
      <c r="F220" s="1355"/>
      <c r="G220" s="1355"/>
      <c r="H220" s="1356"/>
      <c r="I220" s="824"/>
      <c r="J220" s="824"/>
      <c r="K220" s="825"/>
      <c r="L220" s="820"/>
      <c r="M220" s="821"/>
      <c r="N220" s="801"/>
      <c r="O220" s="822"/>
      <c r="P220" s="822"/>
      <c r="Q220" s="822"/>
      <c r="R220" s="822"/>
      <c r="S220" s="822"/>
      <c r="T220" s="822"/>
      <c r="U220" s="822"/>
      <c r="V220" s="822"/>
      <c r="W220" s="822"/>
      <c r="X220" s="822"/>
      <c r="Y220" s="823"/>
      <c r="Z220" s="823"/>
      <c r="AA220" s="823"/>
    </row>
    <row r="221" spans="1:27" x14ac:dyDescent="0.25">
      <c r="A221" s="1035">
        <v>212</v>
      </c>
      <c r="B221" s="1035" t="s">
        <v>50</v>
      </c>
      <c r="C221" s="1035" t="s">
        <v>126</v>
      </c>
      <c r="D221" s="1354"/>
      <c r="E221" s="1355"/>
      <c r="F221" s="1355"/>
      <c r="G221" s="1355"/>
      <c r="H221" s="1356"/>
      <c r="I221" s="824"/>
      <c r="J221" s="824"/>
      <c r="K221" s="825"/>
      <c r="L221" s="820"/>
      <c r="M221" s="821"/>
      <c r="N221" s="801"/>
      <c r="O221" s="822"/>
      <c r="P221" s="822"/>
      <c r="Q221" s="822"/>
      <c r="R221" s="822"/>
      <c r="S221" s="822"/>
      <c r="T221" s="822"/>
      <c r="U221" s="822"/>
      <c r="V221" s="822"/>
      <c r="W221" s="822"/>
      <c r="X221" s="822"/>
      <c r="Y221" s="823"/>
      <c r="Z221" s="823"/>
      <c r="AA221" s="823"/>
    </row>
    <row r="222" spans="1:27" x14ac:dyDescent="0.25">
      <c r="A222" s="1035">
        <v>213</v>
      </c>
      <c r="B222" s="1035" t="s">
        <v>50</v>
      </c>
      <c r="C222" s="1035" t="s">
        <v>126</v>
      </c>
      <c r="D222" s="1364"/>
      <c r="E222" s="1358"/>
      <c r="F222" s="1358"/>
      <c r="G222" s="1358"/>
      <c r="H222" s="1359"/>
      <c r="I222" s="824"/>
      <c r="J222" s="824"/>
      <c r="K222" s="825"/>
      <c r="L222" s="820"/>
      <c r="M222" s="821"/>
      <c r="N222" s="801"/>
      <c r="O222" s="822"/>
      <c r="P222" s="822"/>
      <c r="Q222" s="822"/>
      <c r="R222" s="822"/>
      <c r="S222" s="822"/>
      <c r="T222" s="822"/>
      <c r="U222" s="822"/>
      <c r="V222" s="822"/>
      <c r="W222" s="822"/>
      <c r="X222" s="822"/>
      <c r="Y222" s="823"/>
      <c r="Z222" s="823"/>
      <c r="AA222" s="823"/>
    </row>
    <row r="223" spans="1:27" x14ac:dyDescent="0.25">
      <c r="A223" s="1035">
        <v>214</v>
      </c>
      <c r="B223" s="1035" t="s">
        <v>50</v>
      </c>
      <c r="C223" s="1035" t="s">
        <v>126</v>
      </c>
      <c r="D223" s="1364"/>
      <c r="E223" s="1358"/>
      <c r="F223" s="1358"/>
      <c r="G223" s="1358"/>
      <c r="H223" s="1359"/>
      <c r="I223" s="824"/>
      <c r="J223" s="824"/>
      <c r="K223" s="825"/>
      <c r="L223" s="820"/>
      <c r="M223" s="821"/>
      <c r="N223" s="801"/>
      <c r="O223" s="822"/>
      <c r="P223" s="822"/>
      <c r="Q223" s="822"/>
      <c r="R223" s="822"/>
      <c r="S223" s="822"/>
      <c r="T223" s="822"/>
      <c r="U223" s="822"/>
      <c r="V223" s="822"/>
      <c r="W223" s="822"/>
      <c r="X223" s="822"/>
      <c r="Y223" s="823"/>
      <c r="Z223" s="823"/>
      <c r="AA223" s="823"/>
    </row>
    <row r="224" spans="1:27" x14ac:dyDescent="0.25">
      <c r="A224" s="1035">
        <v>215</v>
      </c>
      <c r="B224" s="1035" t="s">
        <v>50</v>
      </c>
      <c r="C224" s="1035" t="s">
        <v>126</v>
      </c>
      <c r="D224" s="1360"/>
      <c r="E224" s="1361"/>
      <c r="F224" s="1361"/>
      <c r="G224" s="1361"/>
      <c r="H224" s="1362"/>
      <c r="I224" s="824"/>
      <c r="J224" s="824"/>
      <c r="K224" s="825"/>
      <c r="L224" s="820"/>
      <c r="M224" s="821"/>
      <c r="N224" s="801"/>
      <c r="O224" s="822"/>
      <c r="P224" s="822"/>
      <c r="Q224" s="822"/>
      <c r="R224" s="822"/>
      <c r="S224" s="822"/>
      <c r="T224" s="822"/>
      <c r="U224" s="822"/>
      <c r="V224" s="822"/>
      <c r="W224" s="822"/>
      <c r="X224" s="822"/>
      <c r="Y224" s="823"/>
      <c r="Z224" s="823"/>
      <c r="AA224" s="823"/>
    </row>
    <row r="225" spans="1:33" ht="15.75" thickBot="1" x14ac:dyDescent="0.3">
      <c r="A225" s="1035">
        <v>216</v>
      </c>
      <c r="B225" s="1035" t="s">
        <v>50</v>
      </c>
      <c r="C225" s="1035" t="s">
        <v>126</v>
      </c>
      <c r="I225" s="824"/>
      <c r="J225" s="824"/>
      <c r="K225" s="825"/>
      <c r="L225" s="820"/>
      <c r="M225" s="821"/>
      <c r="N225" s="801"/>
      <c r="O225" s="822"/>
      <c r="P225" s="822"/>
      <c r="Q225" s="822"/>
      <c r="R225" s="822"/>
      <c r="S225" s="822"/>
      <c r="T225" s="822"/>
      <c r="U225" s="822"/>
      <c r="V225" s="822"/>
      <c r="W225" s="822"/>
      <c r="X225" s="822"/>
      <c r="Y225" s="823"/>
      <c r="Z225" s="823"/>
      <c r="AA225" s="823"/>
    </row>
    <row r="226" spans="1:33" x14ac:dyDescent="0.25">
      <c r="A226" s="1037">
        <v>217</v>
      </c>
      <c r="B226" s="1037" t="s">
        <v>50</v>
      </c>
      <c r="C226" s="827" t="s">
        <v>127</v>
      </c>
      <c r="D226" s="1157" t="s">
        <v>886</v>
      </c>
      <c r="E226" s="1158"/>
      <c r="F226" s="1158"/>
      <c r="G226" s="1159"/>
      <c r="H226" s="1167" t="str">
        <f>IF(Hea03_credits=AIS_credit00,AIS_statement32,"")</f>
        <v/>
      </c>
      <c r="I226" s="824"/>
      <c r="J226" s="824"/>
      <c r="K226" s="825"/>
      <c r="L226" s="809" t="str">
        <f>C226</f>
        <v>Hea 03</v>
      </c>
      <c r="M226" s="821"/>
      <c r="N226" s="801"/>
      <c r="O226" s="822"/>
      <c r="P226" s="822"/>
      <c r="Q226" s="822"/>
      <c r="R226" s="822"/>
      <c r="S226" s="822"/>
      <c r="T226" s="822"/>
      <c r="U226" s="822"/>
      <c r="V226" s="822"/>
      <c r="W226" s="822"/>
      <c r="X226" s="822"/>
      <c r="Y226" s="823"/>
      <c r="Z226" s="823"/>
      <c r="AA226" s="823"/>
    </row>
    <row r="227" spans="1:33" x14ac:dyDescent="0.25">
      <c r="A227" s="1035">
        <v>218</v>
      </c>
      <c r="B227" s="1035" t="s">
        <v>50</v>
      </c>
      <c r="C227" s="1035" t="s">
        <v>127</v>
      </c>
      <c r="D227" s="1107" t="s">
        <v>17</v>
      </c>
      <c r="E227" s="1108">
        <f>Hea03_credits</f>
        <v>2</v>
      </c>
      <c r="F227" s="1109"/>
      <c r="G227" s="1110" t="s">
        <v>85</v>
      </c>
      <c r="H227" s="1111">
        <f>Hea03_09</f>
        <v>1.4999999999999999E-2</v>
      </c>
      <c r="I227" s="824"/>
      <c r="J227" s="824"/>
      <c r="K227" s="825"/>
      <c r="L227" s="820"/>
      <c r="M227" s="821"/>
      <c r="N227" s="801"/>
      <c r="O227" s="822"/>
      <c r="P227" s="822"/>
      <c r="Q227" s="822"/>
      <c r="R227" s="822"/>
      <c r="S227" s="822"/>
      <c r="T227" s="822"/>
      <c r="U227" s="822"/>
      <c r="V227" s="822"/>
      <c r="W227" s="822"/>
      <c r="X227" s="822"/>
      <c r="Y227" s="823"/>
      <c r="Z227" s="823"/>
      <c r="AA227" s="823"/>
    </row>
    <row r="228" spans="1:33" x14ac:dyDescent="0.25">
      <c r="A228" s="1035">
        <v>219</v>
      </c>
      <c r="B228" s="1035" t="s">
        <v>50</v>
      </c>
      <c r="C228" s="1035" t="s">
        <v>127</v>
      </c>
      <c r="D228" s="1112" t="s">
        <v>349</v>
      </c>
      <c r="E228" s="1113">
        <v>0</v>
      </c>
      <c r="F228" s="1114"/>
      <c r="G228" s="1115" t="s">
        <v>350</v>
      </c>
      <c r="H228" s="1116" t="s">
        <v>15</v>
      </c>
      <c r="I228" s="824"/>
      <c r="J228" s="824"/>
      <c r="K228" s="825"/>
      <c r="L228" s="820"/>
      <c r="M228" s="821"/>
      <c r="N228" s="801"/>
      <c r="O228" s="822"/>
      <c r="P228" s="822"/>
      <c r="Q228" s="822"/>
      <c r="R228" s="822"/>
      <c r="S228" s="822"/>
      <c r="T228" s="822"/>
      <c r="U228" s="822"/>
      <c r="V228" s="822"/>
      <c r="W228" s="822"/>
      <c r="X228" s="822"/>
      <c r="Y228" s="823"/>
      <c r="Z228" s="823"/>
      <c r="AA228" s="823"/>
    </row>
    <row r="229" spans="1:33" x14ac:dyDescent="0.25">
      <c r="A229" s="1035">
        <v>220</v>
      </c>
      <c r="B229" s="1035" t="s">
        <v>50</v>
      </c>
      <c r="C229" s="1035" t="s">
        <v>127</v>
      </c>
      <c r="I229" s="824"/>
      <c r="J229" s="824"/>
      <c r="K229" s="825"/>
      <c r="L229" s="820"/>
      <c r="M229" s="821"/>
      <c r="N229" s="801"/>
      <c r="O229" s="822"/>
      <c r="P229" s="822"/>
      <c r="Q229" s="822"/>
      <c r="R229" s="822"/>
      <c r="S229" s="822"/>
      <c r="T229" s="822"/>
      <c r="U229" s="822"/>
      <c r="V229" s="822"/>
      <c r="W229" s="822"/>
      <c r="X229" s="822"/>
      <c r="Y229" s="823"/>
      <c r="Z229" s="823"/>
      <c r="AA229" s="823"/>
    </row>
    <row r="230" spans="1:33" ht="15.75" thickBot="1" x14ac:dyDescent="0.3">
      <c r="A230" s="1035">
        <v>221</v>
      </c>
      <c r="B230" s="1035" t="s">
        <v>50</v>
      </c>
      <c r="C230" s="1035" t="s">
        <v>127</v>
      </c>
      <c r="D230" s="1117" t="s">
        <v>351</v>
      </c>
      <c r="E230" s="1118" t="s">
        <v>352</v>
      </c>
      <c r="F230" s="1118" t="s">
        <v>353</v>
      </c>
      <c r="G230" s="1118" t="s">
        <v>354</v>
      </c>
      <c r="H230" s="1118" t="s">
        <v>355</v>
      </c>
      <c r="I230" s="824"/>
      <c r="J230" s="824"/>
      <c r="K230" s="825"/>
      <c r="L230" s="820"/>
      <c r="M230" s="821"/>
      <c r="N230" s="801"/>
      <c r="O230" s="822"/>
      <c r="P230" s="822"/>
      <c r="Q230" s="822"/>
      <c r="R230" s="822"/>
      <c r="S230" s="822"/>
      <c r="T230" s="822"/>
      <c r="U230" s="822"/>
      <c r="V230" s="822"/>
      <c r="W230" s="822"/>
      <c r="X230" s="822"/>
      <c r="Y230" s="823"/>
      <c r="Z230" s="823"/>
      <c r="AA230" s="823"/>
    </row>
    <row r="231" spans="1:33" ht="15.75" thickBot="1" x14ac:dyDescent="0.3">
      <c r="A231" s="1035">
        <v>222</v>
      </c>
      <c r="B231" s="1035" t="s">
        <v>50</v>
      </c>
      <c r="C231" s="1035" t="s">
        <v>127</v>
      </c>
      <c r="D231" s="1119" t="s">
        <v>385</v>
      </c>
      <c r="E231" s="1093" t="s">
        <v>360</v>
      </c>
      <c r="F231" s="1120">
        <f>IF(E227=0,0,1)</f>
        <v>1</v>
      </c>
      <c r="G231" s="1290">
        <f>IF(AND(E231=AIS_Yes,(OR(E235&lt;&gt;"",E236&lt;&gt;""))),F231,0)*IF(U231=AIS_No,1,IF(H231=AA231,R231,IF(H231=AB231,S231,IF(H231=AC231,T231,1))))</f>
        <v>0</v>
      </c>
      <c r="H231" s="1325" t="s">
        <v>16</v>
      </c>
      <c r="I231" s="824"/>
      <c r="J231" s="824"/>
      <c r="K231" s="825"/>
      <c r="L231" s="820"/>
      <c r="M231" s="821"/>
      <c r="N231" s="801"/>
      <c r="O231" s="1266">
        <v>1</v>
      </c>
      <c r="P231" s="1266">
        <v>0.5</v>
      </c>
      <c r="Q231" s="1267">
        <v>1</v>
      </c>
      <c r="R231" s="1258" t="str">
        <f t="shared" ref="R231" si="9">IF($T$4=AIS_Yes,O231,AIS_NA)</f>
        <v>N/A</v>
      </c>
      <c r="S231" s="1259" t="str">
        <f t="shared" ref="S231" si="10">IF($T$4=AIS_Yes,P231,AIS_NA)</f>
        <v>N/A</v>
      </c>
      <c r="T231" s="1074" t="str">
        <f t="shared" ref="T231" si="11">IF($T$4=AIS_Yes,Q231,AIS_NA)</f>
        <v>N/A</v>
      </c>
      <c r="U231" s="1265" t="str">
        <f>IF(AND($T$4=AIS_Yes,OR(R231&lt;&gt;AIS_NA,S231&lt;&gt;AIS_NA,T231&lt;&gt;AIS_NA)),AIS_Yes,AIS_No)</f>
        <v>No</v>
      </c>
      <c r="V231" s="1258" t="str">
        <f>AIS_option01</f>
        <v>N/A</v>
      </c>
      <c r="W231" s="1259" t="str">
        <f>AIS_option02_50</f>
        <v>Option 2: -50%</v>
      </c>
      <c r="X231" s="1272" t="str">
        <f>AIS_option03</f>
        <v>N/A</v>
      </c>
      <c r="Y231" s="1273"/>
      <c r="Z231" s="1282" t="str">
        <f>AIS_NA</f>
        <v>N/A</v>
      </c>
      <c r="AA231" s="1274" t="str">
        <f>IF(U231=AIS_Yes,V231,AIS_NA)</f>
        <v>N/A</v>
      </c>
      <c r="AB231" s="1274" t="str">
        <f>IF(U231=AIS_Yes,W231,AIS_NA)</f>
        <v>N/A</v>
      </c>
      <c r="AC231" s="1275" t="str">
        <f>IF(U231=AIS_Yes,X231,AIS_NA)</f>
        <v>N/A</v>
      </c>
      <c r="AD231" s="1276" t="str">
        <f>C231</f>
        <v>Hea 03</v>
      </c>
      <c r="AE231" s="1283" t="str">
        <f>D231</f>
        <v>Thermal modelling</v>
      </c>
      <c r="AF231" s="1263" t="str">
        <f>H231</f>
        <v>N/A</v>
      </c>
      <c r="AG231" s="928">
        <f>IF(U231=AIS_No,1,IF(H231=AA231,R231,IF(H231=AB231,S231,IF(H231=AC231,T231,1))))</f>
        <v>1</v>
      </c>
    </row>
    <row r="232" spans="1:33" ht="15.75" thickBot="1" x14ac:dyDescent="0.3">
      <c r="A232" s="1035">
        <v>223</v>
      </c>
      <c r="B232" s="1035" t="s">
        <v>50</v>
      </c>
      <c r="C232" s="1035" t="s">
        <v>127</v>
      </c>
      <c r="D232" s="1123" t="s">
        <v>386</v>
      </c>
      <c r="E232" s="1100" t="s">
        <v>360</v>
      </c>
      <c r="F232" s="1124">
        <f>IF(E227=0,0,IF(E231=AIS_Yes,1,0))</f>
        <v>0</v>
      </c>
      <c r="G232" s="1294">
        <f>IF(E232=AIS_Yes,F232,0)*IF(U232=AIS_No,1,IF(H232=AA232,R232,IF(H232=AB232,S232,IF(H232=AC232,T232,1))))</f>
        <v>0</v>
      </c>
      <c r="H232" s="1321" t="s">
        <v>16</v>
      </c>
      <c r="I232" s="824"/>
      <c r="J232" s="824"/>
      <c r="K232" s="825"/>
      <c r="L232" s="820"/>
      <c r="M232" s="821"/>
      <c r="N232" s="801"/>
      <c r="O232" s="1266">
        <v>1</v>
      </c>
      <c r="P232" s="1266">
        <v>0.5</v>
      </c>
      <c r="Q232" s="1267">
        <v>1</v>
      </c>
      <c r="R232" s="1258" t="str">
        <f t="shared" ref="R232" si="12">IF($T$4=AIS_Yes,O232,AIS_NA)</f>
        <v>N/A</v>
      </c>
      <c r="S232" s="1259" t="str">
        <f t="shared" ref="S232" si="13">IF($T$4=AIS_Yes,P232,AIS_NA)</f>
        <v>N/A</v>
      </c>
      <c r="T232" s="1074" t="str">
        <f t="shared" ref="T232" si="14">IF($T$4=AIS_Yes,Q232,AIS_NA)</f>
        <v>N/A</v>
      </c>
      <c r="U232" s="1265" t="str">
        <f>IF(AND($T$4=AIS_Yes,OR(R232&lt;&gt;AIS_NA,S232&lt;&gt;AIS_NA,T232&lt;&gt;AIS_NA)),AIS_Yes,AIS_No)</f>
        <v>No</v>
      </c>
      <c r="V232" s="1258" t="str">
        <f>AIS_option01</f>
        <v>N/A</v>
      </c>
      <c r="W232" s="1259" t="str">
        <f>AIS_option02_50</f>
        <v>Option 2: -50%</v>
      </c>
      <c r="X232" s="1272" t="str">
        <f>AIS_option03</f>
        <v>N/A</v>
      </c>
      <c r="Y232" s="1273"/>
      <c r="Z232" s="1282" t="str">
        <f>AIS_NA</f>
        <v>N/A</v>
      </c>
      <c r="AA232" s="1274" t="str">
        <f>IF(U232=AIS_Yes,V232,AIS_NA)</f>
        <v>N/A</v>
      </c>
      <c r="AB232" s="1274" t="str">
        <f>IF(U232=AIS_Yes,W232,AIS_NA)</f>
        <v>N/A</v>
      </c>
      <c r="AC232" s="1275" t="str">
        <f>IF(U232=AIS_Yes,X232,AIS_NA)</f>
        <v>N/A</v>
      </c>
      <c r="AD232" s="1276" t="str">
        <f>C232</f>
        <v>Hea 03</v>
      </c>
      <c r="AE232" s="1283" t="str">
        <f>D232</f>
        <v>Thermal zoning and control strategy</v>
      </c>
      <c r="AF232" s="1263" t="str">
        <f>H232</f>
        <v>N/A</v>
      </c>
      <c r="AG232" s="928">
        <f>IF(U232=AIS_No,1,IF(H232=AA232,R232,IF(H232=AB232,S232,IF(H232=AC232,T232,1))))</f>
        <v>1</v>
      </c>
    </row>
    <row r="233" spans="1:33" x14ac:dyDescent="0.25">
      <c r="A233" s="1035">
        <v>224</v>
      </c>
      <c r="B233" s="1035" t="s">
        <v>50</v>
      </c>
      <c r="C233" s="1035" t="s">
        <v>127</v>
      </c>
      <c r="I233" s="824"/>
      <c r="J233" s="824"/>
      <c r="K233" s="825"/>
      <c r="L233" s="820"/>
      <c r="M233" s="821"/>
      <c r="N233" s="801"/>
      <c r="O233" s="822"/>
      <c r="P233" s="822"/>
      <c r="Q233" s="822"/>
      <c r="R233" s="822"/>
      <c r="S233" s="822"/>
      <c r="T233" s="822"/>
      <c r="U233" s="822"/>
      <c r="V233" s="822"/>
      <c r="W233" s="822"/>
      <c r="X233" s="822"/>
      <c r="Y233" s="823"/>
      <c r="Z233" s="823"/>
      <c r="AA233" s="823"/>
    </row>
    <row r="234" spans="1:33" ht="15.75" thickBot="1" x14ac:dyDescent="0.3">
      <c r="A234" s="1035">
        <v>225</v>
      </c>
      <c r="B234" s="1035" t="s">
        <v>50</v>
      </c>
      <c r="C234" s="1035" t="s">
        <v>127</v>
      </c>
      <c r="D234" s="1117" t="s">
        <v>387</v>
      </c>
      <c r="E234" s="1118"/>
      <c r="I234" s="824"/>
      <c r="J234" s="824"/>
      <c r="K234" s="825"/>
      <c r="L234" s="820"/>
      <c r="M234" s="821"/>
      <c r="N234" s="801"/>
      <c r="O234" s="822"/>
      <c r="P234" s="822"/>
      <c r="Q234" s="822"/>
      <c r="R234" s="822"/>
      <c r="S234" s="822"/>
      <c r="T234" s="822"/>
      <c r="U234" s="822"/>
      <c r="V234" s="822"/>
      <c r="W234" s="822"/>
      <c r="X234" s="822"/>
      <c r="Y234" s="823"/>
      <c r="Z234" s="823"/>
      <c r="AA234" s="823"/>
    </row>
    <row r="235" spans="1:33" x14ac:dyDescent="0.25">
      <c r="A235" s="1035">
        <v>226</v>
      </c>
      <c r="B235" s="1035" t="s">
        <v>50</v>
      </c>
      <c r="C235" s="1035" t="s">
        <v>127</v>
      </c>
      <c r="D235" s="1119" t="s">
        <v>388</v>
      </c>
      <c r="E235" s="504"/>
      <c r="F235" s="768" t="s">
        <v>422</v>
      </c>
      <c r="G235" s="1145" t="str">
        <f>IF(E227=0,"",IF(AND(E231=AIS_Yes,E235="",E236=""),"If data not available then insert INA (i.e. Indicator not assessed)",""))</f>
        <v/>
      </c>
      <c r="I235" s="824"/>
      <c r="J235" s="824"/>
      <c r="K235" s="825"/>
      <c r="L235" s="820"/>
      <c r="M235" s="821"/>
      <c r="N235" s="801"/>
      <c r="O235" s="822"/>
      <c r="P235" s="822"/>
      <c r="Q235" s="822"/>
      <c r="R235" s="822"/>
      <c r="S235" s="822"/>
      <c r="T235" s="822"/>
      <c r="U235" s="822"/>
      <c r="V235" s="822"/>
      <c r="W235" s="822"/>
      <c r="X235" s="822"/>
      <c r="Y235" s="823"/>
      <c r="Z235" s="823"/>
      <c r="AA235" s="823"/>
    </row>
    <row r="236" spans="1:33" ht="15.75" thickBot="1" x14ac:dyDescent="0.3">
      <c r="A236" s="1035">
        <v>227</v>
      </c>
      <c r="B236" s="1035" t="s">
        <v>50</v>
      </c>
      <c r="C236" s="1035" t="s">
        <v>127</v>
      </c>
      <c r="D236" s="1123" t="s">
        <v>389</v>
      </c>
      <c r="E236" s="511"/>
      <c r="F236" s="768" t="s">
        <v>940</v>
      </c>
      <c r="G236" s="1145" t="str">
        <f>IF(E227=0,"",IF(AND(E231=AIS_Yes,E235="",E236=""),"If data not available then insert INA (i.e. Indicator not assessed)",""))</f>
        <v/>
      </c>
      <c r="I236" s="824"/>
      <c r="J236" s="824"/>
      <c r="K236" s="825"/>
      <c r="L236" s="820"/>
      <c r="M236" s="821"/>
      <c r="N236" s="801"/>
      <c r="O236" s="822"/>
      <c r="P236" s="822"/>
      <c r="Q236" s="822"/>
      <c r="R236" s="822"/>
      <c r="S236" s="822"/>
      <c r="T236" s="822"/>
      <c r="U236" s="822"/>
      <c r="V236" s="822"/>
      <c r="W236" s="822"/>
      <c r="X236" s="822"/>
      <c r="Y236" s="823"/>
      <c r="Z236" s="823"/>
      <c r="AA236" s="823"/>
    </row>
    <row r="237" spans="1:33" x14ac:dyDescent="0.25">
      <c r="A237" s="1035">
        <v>228</v>
      </c>
      <c r="B237" s="1035" t="s">
        <v>50</v>
      </c>
      <c r="C237" s="1035" t="s">
        <v>127</v>
      </c>
      <c r="E237" s="1144"/>
      <c r="I237" s="824"/>
      <c r="J237" s="824"/>
      <c r="K237" s="825"/>
      <c r="L237" s="820"/>
      <c r="M237" s="821"/>
      <c r="N237" s="801"/>
      <c r="O237" s="822"/>
      <c r="P237" s="822"/>
      <c r="Q237" s="822"/>
      <c r="R237" s="822"/>
      <c r="S237" s="822"/>
      <c r="T237" s="822"/>
      <c r="U237" s="822"/>
      <c r="V237" s="822"/>
      <c r="W237" s="822"/>
      <c r="X237" s="822"/>
      <c r="Y237" s="823"/>
      <c r="Z237" s="823"/>
      <c r="AA237" s="823"/>
    </row>
    <row r="238" spans="1:33" x14ac:dyDescent="0.25">
      <c r="A238" s="1035">
        <v>229</v>
      </c>
      <c r="B238" s="1035" t="s">
        <v>50</v>
      </c>
      <c r="C238" s="1035" t="s">
        <v>127</v>
      </c>
      <c r="D238" s="1127" t="s">
        <v>356</v>
      </c>
      <c r="E238" s="1278">
        <f>G231+G232</f>
        <v>0</v>
      </c>
      <c r="I238" s="824"/>
      <c r="J238" s="824"/>
      <c r="K238" s="825"/>
      <c r="L238" s="820"/>
      <c r="M238" s="821"/>
      <c r="N238" s="801"/>
      <c r="O238" s="822"/>
      <c r="P238" s="822"/>
      <c r="Q238" s="822"/>
      <c r="R238" s="822"/>
      <c r="S238" s="822"/>
      <c r="T238" s="822"/>
      <c r="U238" s="822"/>
      <c r="V238" s="822"/>
      <c r="W238" s="822"/>
      <c r="X238" s="822"/>
      <c r="Y238" s="823"/>
      <c r="Z238" s="823"/>
      <c r="AA238" s="823"/>
    </row>
    <row r="239" spans="1:33" x14ac:dyDescent="0.25">
      <c r="A239" s="1035">
        <v>230</v>
      </c>
      <c r="B239" s="1035" t="s">
        <v>50</v>
      </c>
      <c r="C239" s="1035" t="s">
        <v>127</v>
      </c>
      <c r="D239" s="1129" t="s">
        <v>86</v>
      </c>
      <c r="E239" s="1130">
        <f>Hea03_contr</f>
        <v>0</v>
      </c>
      <c r="I239" s="824"/>
      <c r="J239" s="824"/>
      <c r="K239" s="825"/>
      <c r="L239" s="820"/>
      <c r="M239" s="821"/>
      <c r="N239" s="801"/>
      <c r="O239" s="822"/>
      <c r="P239" s="822"/>
      <c r="Q239" s="822"/>
      <c r="R239" s="822"/>
      <c r="S239" s="822"/>
      <c r="T239" s="822"/>
      <c r="U239" s="822"/>
      <c r="V239" s="822"/>
      <c r="W239" s="822"/>
      <c r="X239" s="822"/>
      <c r="Y239" s="823"/>
      <c r="Z239" s="823"/>
      <c r="AA239" s="823"/>
    </row>
    <row r="240" spans="1:33" x14ac:dyDescent="0.25">
      <c r="A240" s="1035">
        <v>231</v>
      </c>
      <c r="B240" s="1035" t="s">
        <v>50</v>
      </c>
      <c r="C240" s="1035" t="s">
        <v>127</v>
      </c>
      <c r="D240" s="1131" t="s">
        <v>357</v>
      </c>
      <c r="E240" s="1128" t="s">
        <v>16</v>
      </c>
      <c r="I240" s="824"/>
      <c r="J240" s="824"/>
      <c r="K240" s="825"/>
      <c r="L240" s="820"/>
      <c r="M240" s="821"/>
      <c r="N240" s="801"/>
      <c r="O240" s="822"/>
      <c r="P240" s="822"/>
      <c r="Q240" s="822"/>
      <c r="R240" s="822"/>
      <c r="S240" s="822"/>
      <c r="T240" s="822"/>
      <c r="U240" s="822"/>
      <c r="V240" s="822"/>
      <c r="W240" s="822"/>
      <c r="X240" s="822"/>
      <c r="Y240" s="823"/>
      <c r="Z240" s="823"/>
      <c r="AA240" s="823"/>
    </row>
    <row r="241" spans="1:33" x14ac:dyDescent="0.25">
      <c r="A241" s="1035">
        <v>232</v>
      </c>
      <c r="B241" s="1035" t="s">
        <v>50</v>
      </c>
      <c r="C241" s="1035" t="s">
        <v>127</v>
      </c>
      <c r="D241" s="1132" t="s">
        <v>55</v>
      </c>
      <c r="E241" s="1133" t="s">
        <v>16</v>
      </c>
      <c r="F241" s="1134"/>
      <c r="G241" s="1135"/>
      <c r="I241" s="824"/>
      <c r="J241" s="824"/>
      <c r="K241" s="825"/>
      <c r="L241" s="820"/>
      <c r="M241" s="821"/>
      <c r="N241" s="801"/>
      <c r="O241" s="822"/>
      <c r="P241" s="822"/>
      <c r="Q241" s="822"/>
      <c r="R241" s="822"/>
      <c r="S241" s="822"/>
      <c r="T241" s="822"/>
      <c r="U241" s="822"/>
      <c r="V241" s="822"/>
      <c r="W241" s="822"/>
      <c r="X241" s="822"/>
      <c r="Y241" s="823"/>
      <c r="Z241" s="823"/>
      <c r="AA241" s="823"/>
    </row>
    <row r="242" spans="1:33" x14ac:dyDescent="0.25">
      <c r="A242" s="1035">
        <v>233</v>
      </c>
      <c r="B242" s="1035" t="s">
        <v>50</v>
      </c>
      <c r="C242" s="1035" t="s">
        <v>127</v>
      </c>
      <c r="I242" s="824"/>
      <c r="J242" s="824"/>
      <c r="K242" s="825"/>
      <c r="L242" s="820"/>
      <c r="M242" s="821"/>
      <c r="N242" s="801"/>
      <c r="O242" s="822"/>
      <c r="P242" s="822"/>
      <c r="Q242" s="822"/>
      <c r="R242" s="822"/>
      <c r="S242" s="822"/>
      <c r="T242" s="822"/>
      <c r="U242" s="822"/>
      <c r="V242" s="822"/>
      <c r="W242" s="822"/>
      <c r="X242" s="822"/>
      <c r="Y242" s="823"/>
      <c r="Z242" s="823"/>
      <c r="AA242" s="823"/>
    </row>
    <row r="243" spans="1:33" x14ac:dyDescent="0.25">
      <c r="A243" s="1035">
        <v>234</v>
      </c>
      <c r="B243" s="1035" t="s">
        <v>50</v>
      </c>
      <c r="C243" s="1035" t="s">
        <v>127</v>
      </c>
      <c r="D243" s="1136" t="s">
        <v>359</v>
      </c>
      <c r="E243" s="1136" t="s">
        <v>977</v>
      </c>
      <c r="F243" s="1136" t="str">
        <f>HLOOKUP(C243,'Assessment References'!$H$512:$BG$513,2,FALSE)</f>
        <v/>
      </c>
      <c r="G243" s="1137"/>
      <c r="H243" s="1138"/>
      <c r="I243" s="824"/>
      <c r="J243" s="824"/>
      <c r="K243" s="825"/>
      <c r="L243" s="820"/>
      <c r="M243" s="821"/>
      <c r="N243" s="801"/>
      <c r="O243" s="822"/>
      <c r="P243" s="822"/>
      <c r="Q243" s="822"/>
      <c r="R243" s="822"/>
      <c r="S243" s="822"/>
      <c r="T243" s="822"/>
      <c r="U243" s="822"/>
      <c r="V243" s="822"/>
      <c r="W243" s="822"/>
      <c r="X243" s="822"/>
      <c r="Y243" s="823"/>
      <c r="Z243" s="823"/>
      <c r="AA243" s="823"/>
    </row>
    <row r="244" spans="1:33" x14ac:dyDescent="0.25">
      <c r="A244" s="1035">
        <v>235</v>
      </c>
      <c r="B244" s="1035" t="s">
        <v>50</v>
      </c>
      <c r="C244" s="1035" t="s">
        <v>127</v>
      </c>
      <c r="D244" s="1363"/>
      <c r="E244" s="1352"/>
      <c r="F244" s="1352"/>
      <c r="G244" s="1352"/>
      <c r="H244" s="1353"/>
      <c r="I244" s="824"/>
      <c r="J244" s="824"/>
      <c r="K244" s="825"/>
      <c r="L244" s="820"/>
      <c r="M244" s="821"/>
      <c r="N244" s="801"/>
      <c r="O244" s="822"/>
      <c r="P244" s="822"/>
      <c r="Q244" s="822"/>
      <c r="R244" s="822"/>
      <c r="S244" s="822"/>
      <c r="T244" s="822"/>
      <c r="U244" s="822"/>
      <c r="V244" s="822"/>
      <c r="W244" s="822"/>
      <c r="X244" s="822"/>
      <c r="Y244" s="823"/>
      <c r="Z244" s="823"/>
      <c r="AA244" s="823"/>
    </row>
    <row r="245" spans="1:33" x14ac:dyDescent="0.25">
      <c r="A245" s="1035">
        <v>236</v>
      </c>
      <c r="B245" s="1035" t="s">
        <v>50</v>
      </c>
      <c r="C245" s="1035" t="s">
        <v>127</v>
      </c>
      <c r="D245" s="1354"/>
      <c r="E245" s="1355"/>
      <c r="F245" s="1355"/>
      <c r="G245" s="1355"/>
      <c r="H245" s="1356"/>
      <c r="I245" s="824"/>
      <c r="J245" s="824"/>
      <c r="K245" s="825"/>
      <c r="L245" s="820"/>
      <c r="M245" s="821"/>
      <c r="N245" s="801"/>
      <c r="O245" s="822"/>
      <c r="P245" s="822"/>
      <c r="Q245" s="822"/>
      <c r="R245" s="822"/>
      <c r="S245" s="822"/>
      <c r="T245" s="822"/>
      <c r="U245" s="822"/>
      <c r="V245" s="822"/>
      <c r="W245" s="822"/>
      <c r="X245" s="822"/>
      <c r="Y245" s="823"/>
      <c r="Z245" s="823"/>
      <c r="AA245" s="823"/>
    </row>
    <row r="246" spans="1:33" x14ac:dyDescent="0.25">
      <c r="A246" s="1035">
        <v>237</v>
      </c>
      <c r="B246" s="1035" t="s">
        <v>50</v>
      </c>
      <c r="C246" s="1035" t="s">
        <v>127</v>
      </c>
      <c r="D246" s="1354"/>
      <c r="E246" s="1355"/>
      <c r="F246" s="1355"/>
      <c r="G246" s="1355"/>
      <c r="H246" s="1356"/>
      <c r="I246" s="824"/>
      <c r="J246" s="824"/>
      <c r="K246" s="825"/>
      <c r="L246" s="820"/>
      <c r="M246" s="821"/>
      <c r="N246" s="801"/>
      <c r="O246" s="822"/>
      <c r="P246" s="822"/>
      <c r="Q246" s="822"/>
      <c r="R246" s="822"/>
      <c r="S246" s="822"/>
      <c r="T246" s="822"/>
      <c r="U246" s="822"/>
      <c r="V246" s="822"/>
      <c r="W246" s="822"/>
      <c r="X246" s="822"/>
      <c r="Y246" s="823"/>
      <c r="Z246" s="823"/>
      <c r="AA246" s="823"/>
    </row>
    <row r="247" spans="1:33" x14ac:dyDescent="0.25">
      <c r="A247" s="1035">
        <v>238</v>
      </c>
      <c r="B247" s="1035" t="s">
        <v>50</v>
      </c>
      <c r="C247" s="1035" t="s">
        <v>127</v>
      </c>
      <c r="D247" s="1364"/>
      <c r="E247" s="1358"/>
      <c r="F247" s="1358"/>
      <c r="G247" s="1358"/>
      <c r="H247" s="1359"/>
      <c r="I247" s="824"/>
      <c r="J247" s="824"/>
      <c r="K247" s="825"/>
      <c r="L247" s="820"/>
      <c r="M247" s="821"/>
      <c r="N247" s="801"/>
      <c r="O247" s="822"/>
      <c r="P247" s="822"/>
      <c r="Q247" s="822"/>
      <c r="R247" s="822"/>
      <c r="S247" s="822"/>
      <c r="T247" s="822"/>
      <c r="U247" s="822"/>
      <c r="V247" s="822"/>
      <c r="W247" s="822"/>
      <c r="X247" s="822"/>
      <c r="Y247" s="823"/>
      <c r="Z247" s="823"/>
      <c r="AA247" s="823"/>
    </row>
    <row r="248" spans="1:33" x14ac:dyDescent="0.25">
      <c r="A248" s="1035">
        <v>239</v>
      </c>
      <c r="B248" s="1035" t="s">
        <v>50</v>
      </c>
      <c r="C248" s="1035" t="s">
        <v>127</v>
      </c>
      <c r="D248" s="1364"/>
      <c r="E248" s="1358"/>
      <c r="F248" s="1358"/>
      <c r="G248" s="1358"/>
      <c r="H248" s="1359"/>
      <c r="I248" s="824"/>
      <c r="J248" s="824"/>
      <c r="K248" s="825"/>
      <c r="L248" s="820"/>
      <c r="M248" s="821"/>
      <c r="N248" s="801"/>
      <c r="O248" s="822"/>
      <c r="P248" s="822"/>
      <c r="Q248" s="822"/>
      <c r="R248" s="822"/>
      <c r="S248" s="822"/>
      <c r="T248" s="822"/>
      <c r="U248" s="822"/>
      <c r="V248" s="822"/>
      <c r="W248" s="822"/>
      <c r="X248" s="822"/>
      <c r="Y248" s="823"/>
      <c r="Z248" s="823"/>
      <c r="AA248" s="823"/>
    </row>
    <row r="249" spans="1:33" x14ac:dyDescent="0.25">
      <c r="A249" s="1035">
        <v>240</v>
      </c>
      <c r="B249" s="1035" t="s">
        <v>50</v>
      </c>
      <c r="C249" s="1035" t="s">
        <v>127</v>
      </c>
      <c r="D249" s="1360"/>
      <c r="E249" s="1361"/>
      <c r="F249" s="1361"/>
      <c r="G249" s="1361"/>
      <c r="H249" s="1362"/>
      <c r="I249" s="824"/>
      <c r="J249" s="824"/>
      <c r="K249" s="825"/>
      <c r="L249" s="820"/>
      <c r="M249" s="821"/>
      <c r="N249" s="801"/>
      <c r="O249" s="822"/>
      <c r="P249" s="822"/>
      <c r="Q249" s="822"/>
      <c r="R249" s="822"/>
      <c r="S249" s="822"/>
      <c r="T249" s="822"/>
      <c r="U249" s="822"/>
      <c r="V249" s="822"/>
      <c r="W249" s="822"/>
      <c r="X249" s="822"/>
      <c r="Y249" s="823"/>
      <c r="Z249" s="823"/>
      <c r="AA249" s="823"/>
    </row>
    <row r="250" spans="1:33" ht="15.75" thickBot="1" x14ac:dyDescent="0.3">
      <c r="A250" s="1035">
        <v>241</v>
      </c>
      <c r="B250" s="1035" t="s">
        <v>50</v>
      </c>
      <c r="C250" s="1035" t="s">
        <v>127</v>
      </c>
      <c r="D250" s="1156"/>
      <c r="E250" s="1156"/>
      <c r="F250" s="1156"/>
      <c r="G250" s="1156"/>
      <c r="H250" s="1156"/>
      <c r="I250" s="824"/>
      <c r="J250" s="824"/>
      <c r="K250" s="825"/>
      <c r="L250" s="820"/>
      <c r="M250" s="821"/>
      <c r="N250" s="801"/>
      <c r="O250" s="822"/>
      <c r="P250" s="822"/>
      <c r="Q250" s="822"/>
      <c r="R250" s="822"/>
      <c r="S250" s="822"/>
      <c r="T250" s="822"/>
      <c r="U250" s="822"/>
      <c r="V250" s="822"/>
      <c r="W250" s="822"/>
      <c r="X250" s="822"/>
      <c r="Y250" s="823"/>
      <c r="Z250" s="823"/>
      <c r="AA250" s="823"/>
    </row>
    <row r="251" spans="1:33" x14ac:dyDescent="0.25">
      <c r="A251" s="1037">
        <v>242</v>
      </c>
      <c r="B251" s="1037" t="s">
        <v>50</v>
      </c>
      <c r="C251" s="827" t="s">
        <v>128</v>
      </c>
      <c r="D251" s="1157" t="s">
        <v>887</v>
      </c>
      <c r="E251" s="1158"/>
      <c r="F251" s="1158"/>
      <c r="G251" s="1159"/>
      <c r="H251" s="1159"/>
      <c r="I251" s="824"/>
      <c r="J251" s="824"/>
      <c r="K251" s="825"/>
      <c r="L251" s="809" t="str">
        <f>C251</f>
        <v>Hea 04</v>
      </c>
      <c r="M251" s="821"/>
      <c r="N251" s="801"/>
      <c r="O251" s="822"/>
      <c r="P251" s="822"/>
      <c r="Q251" s="822"/>
      <c r="R251" s="822"/>
      <c r="S251" s="822"/>
      <c r="T251" s="822"/>
      <c r="U251" s="822"/>
      <c r="V251" s="822"/>
      <c r="W251" s="822"/>
      <c r="X251" s="822"/>
      <c r="Y251" s="823"/>
      <c r="Z251" s="823"/>
      <c r="AA251" s="823"/>
    </row>
    <row r="252" spans="1:33" x14ac:dyDescent="0.25">
      <c r="A252" s="1035">
        <v>243</v>
      </c>
      <c r="B252" s="1035" t="s">
        <v>50</v>
      </c>
      <c r="C252" s="1035" t="s">
        <v>128</v>
      </c>
      <c r="D252" s="1107" t="s">
        <v>17</v>
      </c>
      <c r="E252" s="1108">
        <f>Hea04_credits</f>
        <v>1</v>
      </c>
      <c r="F252" s="1109"/>
      <c r="G252" s="1110" t="s">
        <v>85</v>
      </c>
      <c r="H252" s="1111">
        <f>Hea04_12</f>
        <v>7.4999999999999997E-3</v>
      </c>
      <c r="I252" s="824"/>
      <c r="J252" s="824"/>
      <c r="K252" s="825"/>
      <c r="L252" s="820"/>
      <c r="M252" s="821"/>
      <c r="N252" s="801"/>
      <c r="O252" s="822"/>
      <c r="P252" s="822"/>
      <c r="Q252" s="822"/>
      <c r="R252" s="822"/>
      <c r="S252" s="822"/>
      <c r="T252" s="822"/>
      <c r="U252" s="822"/>
      <c r="V252" s="822"/>
      <c r="W252" s="822"/>
      <c r="X252" s="822"/>
      <c r="Y252" s="823"/>
      <c r="Z252" s="823"/>
      <c r="AA252" s="823"/>
    </row>
    <row r="253" spans="1:33" x14ac:dyDescent="0.25">
      <c r="A253" s="1035">
        <v>244</v>
      </c>
      <c r="B253" s="1035" t="s">
        <v>50</v>
      </c>
      <c r="C253" s="1035" t="s">
        <v>128</v>
      </c>
      <c r="D253" s="1112" t="s">
        <v>349</v>
      </c>
      <c r="E253" s="1113">
        <v>0</v>
      </c>
      <c r="F253" s="1114"/>
      <c r="G253" s="1115" t="s">
        <v>350</v>
      </c>
      <c r="H253" s="1116" t="s">
        <v>15</v>
      </c>
      <c r="I253" s="824"/>
      <c r="J253" s="824"/>
      <c r="K253" s="825"/>
      <c r="L253" s="820"/>
      <c r="M253" s="821"/>
      <c r="N253" s="801"/>
      <c r="O253" s="822"/>
      <c r="P253" s="822"/>
      <c r="Q253" s="822"/>
      <c r="R253" s="822"/>
      <c r="S253" s="822"/>
      <c r="T253" s="822"/>
      <c r="U253" s="822"/>
      <c r="V253" s="822"/>
      <c r="W253" s="822"/>
      <c r="X253" s="822"/>
      <c r="Y253" s="823"/>
      <c r="Z253" s="823"/>
      <c r="AA253" s="823"/>
    </row>
    <row r="254" spans="1:33" x14ac:dyDescent="0.25">
      <c r="A254" s="1035">
        <v>245</v>
      </c>
      <c r="B254" s="1035" t="s">
        <v>50</v>
      </c>
      <c r="C254" s="1035" t="s">
        <v>128</v>
      </c>
      <c r="I254" s="824"/>
      <c r="J254" s="824"/>
      <c r="K254" s="825"/>
      <c r="L254" s="820"/>
      <c r="M254" s="821"/>
      <c r="N254" s="801"/>
      <c r="O254" s="822"/>
      <c r="P254" s="822"/>
      <c r="Q254" s="822"/>
      <c r="R254" s="822"/>
      <c r="S254" s="822"/>
      <c r="T254" s="822"/>
      <c r="U254" s="822"/>
      <c r="V254" s="822"/>
      <c r="W254" s="822"/>
      <c r="X254" s="822"/>
      <c r="Y254" s="823"/>
      <c r="Z254" s="823"/>
      <c r="AA254" s="823"/>
    </row>
    <row r="255" spans="1:33" ht="15.75" thickBot="1" x14ac:dyDescent="0.3">
      <c r="A255" s="1035">
        <v>246</v>
      </c>
      <c r="B255" s="1035" t="s">
        <v>50</v>
      </c>
      <c r="C255" s="1035" t="s">
        <v>128</v>
      </c>
      <c r="D255" s="1117" t="s">
        <v>351</v>
      </c>
      <c r="E255" s="1118" t="s">
        <v>352</v>
      </c>
      <c r="F255" s="1118" t="s">
        <v>353</v>
      </c>
      <c r="G255" s="1118" t="s">
        <v>354</v>
      </c>
      <c r="H255" s="1118" t="s">
        <v>355</v>
      </c>
      <c r="I255" s="824"/>
      <c r="J255" s="824"/>
      <c r="K255" s="825"/>
      <c r="L255" s="820"/>
      <c r="M255" s="821"/>
      <c r="N255" s="801"/>
      <c r="O255" s="822"/>
      <c r="P255" s="822"/>
      <c r="Q255" s="822"/>
      <c r="R255" s="822"/>
      <c r="S255" s="822"/>
      <c r="T255" s="822"/>
      <c r="U255" s="822"/>
      <c r="V255" s="822"/>
      <c r="W255" s="822"/>
      <c r="X255" s="822"/>
      <c r="Y255" s="823"/>
      <c r="Z255" s="823"/>
      <c r="AA255" s="823"/>
    </row>
    <row r="256" spans="1:33" ht="15.75" thickBot="1" x14ac:dyDescent="0.3">
      <c r="A256" s="1035">
        <v>247</v>
      </c>
      <c r="B256" s="1035" t="s">
        <v>50</v>
      </c>
      <c r="C256" s="1035" t="s">
        <v>128</v>
      </c>
      <c r="D256" s="1119" t="s">
        <v>799</v>
      </c>
      <c r="E256" s="1093" t="s">
        <v>360</v>
      </c>
      <c r="F256" s="1139">
        <f>E252</f>
        <v>1</v>
      </c>
      <c r="G256" s="1292">
        <f>IF(AND(E256=AIS_Yes,OR(E257=AIS_Yes,E257=AIS_NA)),F256,0)*IF(U256=AIS_No,1,IF(H256=AA256,R256,IF(H256=AB256,S256,IF(H256=AC256,T256,1))))</f>
        <v>0</v>
      </c>
      <c r="H256" s="1325" t="s">
        <v>16</v>
      </c>
      <c r="I256" s="844"/>
      <c r="J256" s="844"/>
      <c r="K256" s="825"/>
      <c r="L256" s="820"/>
      <c r="M256" s="821"/>
      <c r="N256" s="801"/>
      <c r="O256" s="1266">
        <v>1</v>
      </c>
      <c r="P256" s="1266">
        <v>0.5</v>
      </c>
      <c r="Q256" s="1267">
        <v>1</v>
      </c>
      <c r="R256" s="1258" t="str">
        <f t="shared" ref="R256" si="15">IF($T$4=AIS_Yes,O256,AIS_NA)</f>
        <v>N/A</v>
      </c>
      <c r="S256" s="1259" t="str">
        <f t="shared" ref="S256" si="16">IF($T$4=AIS_Yes,P256,AIS_NA)</f>
        <v>N/A</v>
      </c>
      <c r="T256" s="1074" t="str">
        <f t="shared" ref="T256" si="17">IF($T$4=AIS_Yes,Q256,AIS_NA)</f>
        <v>N/A</v>
      </c>
      <c r="U256" s="1265" t="str">
        <f>IF(AND($T$4=AIS_Yes,OR(R256&lt;&gt;AIS_NA,S256&lt;&gt;AIS_NA,T256&lt;&gt;AIS_NA)),AIS_Yes,AIS_No)</f>
        <v>No</v>
      </c>
      <c r="V256" s="1258" t="str">
        <f>AIS_option01</f>
        <v>N/A</v>
      </c>
      <c r="W256" s="1259" t="str">
        <f>AIS_option02_50</f>
        <v>Option 2: -50%</v>
      </c>
      <c r="X256" s="1272" t="str">
        <f>AIS_option03</f>
        <v>N/A</v>
      </c>
      <c r="Y256" s="1273"/>
      <c r="Z256" s="1282" t="str">
        <f>AIS_NA</f>
        <v>N/A</v>
      </c>
      <c r="AA256" s="1274" t="str">
        <f>IF(U256=AIS_Yes,V256,AIS_NA)</f>
        <v>N/A</v>
      </c>
      <c r="AB256" s="1274" t="str">
        <f>IF(U256=AIS_Yes,W256,AIS_NA)</f>
        <v>N/A</v>
      </c>
      <c r="AC256" s="1275" t="str">
        <f>IF(U256=AIS_Yes,X256,AIS_NA)</f>
        <v>N/A</v>
      </c>
      <c r="AD256" s="1276" t="str">
        <f>C256</f>
        <v>Hea 04</v>
      </c>
      <c r="AE256" s="1283" t="str">
        <f>D251</f>
        <v>Microbial contamination</v>
      </c>
      <c r="AF256" s="1263" t="str">
        <f>H256</f>
        <v>N/A</v>
      </c>
      <c r="AG256" s="928">
        <f>IF(U256=AIS_No,1,IF(H256=AA256,R256,IF(H256=AB256,S256,IF(H256=AC256,T256,1))))</f>
        <v>1</v>
      </c>
    </row>
    <row r="257" spans="1:27" ht="15.75" thickBot="1" x14ac:dyDescent="0.3">
      <c r="A257" s="1035">
        <v>248</v>
      </c>
      <c r="B257" s="1035" t="s">
        <v>50</v>
      </c>
      <c r="C257" s="1035" t="s">
        <v>128</v>
      </c>
      <c r="D257" s="1123" t="s">
        <v>800</v>
      </c>
      <c r="E257" s="1100" t="s">
        <v>360</v>
      </c>
      <c r="F257" s="1140"/>
      <c r="G257" s="1140"/>
      <c r="H257" s="1321"/>
      <c r="I257" s="824"/>
      <c r="J257" s="824"/>
      <c r="K257" s="825"/>
      <c r="L257" s="820"/>
      <c r="M257" s="821"/>
      <c r="N257" s="801"/>
      <c r="O257" s="822"/>
      <c r="P257" s="822"/>
      <c r="Q257" s="822"/>
      <c r="R257" s="822"/>
      <c r="S257" s="822"/>
      <c r="T257" s="822"/>
      <c r="U257" s="822" t="str">
        <f>U256</f>
        <v>No</v>
      </c>
      <c r="V257" s="822"/>
      <c r="W257" s="822"/>
      <c r="X257" s="822"/>
      <c r="Y257" s="823"/>
      <c r="Z257" s="823"/>
      <c r="AA257" s="823"/>
    </row>
    <row r="258" spans="1:27" x14ac:dyDescent="0.25">
      <c r="A258" s="1035">
        <v>249</v>
      </c>
      <c r="B258" s="1035" t="s">
        <v>50</v>
      </c>
      <c r="C258" s="1035" t="s">
        <v>128</v>
      </c>
      <c r="E258" s="1126"/>
      <c r="I258" s="824"/>
      <c r="J258" s="824"/>
      <c r="K258" s="825"/>
      <c r="L258" s="820"/>
      <c r="M258" s="821"/>
      <c r="N258" s="801"/>
      <c r="O258" s="822"/>
      <c r="P258" s="822"/>
      <c r="Q258" s="822"/>
      <c r="R258" s="822"/>
      <c r="S258" s="822"/>
      <c r="T258" s="822"/>
      <c r="U258" s="822"/>
      <c r="V258" s="822"/>
      <c r="W258" s="822"/>
      <c r="X258" s="822"/>
      <c r="Y258" s="823"/>
      <c r="Z258" s="823"/>
      <c r="AA258" s="823"/>
    </row>
    <row r="259" spans="1:27" x14ac:dyDescent="0.25">
      <c r="A259" s="1035">
        <v>250</v>
      </c>
      <c r="B259" s="1035" t="s">
        <v>50</v>
      </c>
      <c r="C259" s="1035" t="s">
        <v>128</v>
      </c>
      <c r="D259" s="1127" t="s">
        <v>356</v>
      </c>
      <c r="E259" s="1278">
        <f>IF(G256&gt;E252,E252,G256)</f>
        <v>0</v>
      </c>
      <c r="I259" s="1029"/>
      <c r="J259" s="824"/>
      <c r="K259" s="825"/>
      <c r="L259" s="820"/>
      <c r="M259" s="821"/>
      <c r="N259" s="801"/>
      <c r="O259" s="822"/>
      <c r="P259" s="822"/>
      <c r="Q259" s="822"/>
      <c r="R259" s="822"/>
      <c r="S259" s="822"/>
      <c r="T259" s="822"/>
      <c r="U259" s="822"/>
      <c r="V259" s="822"/>
      <c r="W259" s="822"/>
      <c r="X259" s="822"/>
      <c r="Y259" s="823"/>
      <c r="Z259" s="823"/>
      <c r="AA259" s="823"/>
    </row>
    <row r="260" spans="1:27" x14ac:dyDescent="0.25">
      <c r="A260" s="1035">
        <v>251</v>
      </c>
      <c r="B260" s="1035" t="s">
        <v>50</v>
      </c>
      <c r="C260" s="1035" t="s">
        <v>128</v>
      </c>
      <c r="D260" s="1129" t="s">
        <v>86</v>
      </c>
      <c r="E260" s="1130">
        <f>Hea04_13</f>
        <v>0</v>
      </c>
      <c r="I260" s="824"/>
      <c r="J260" s="824"/>
      <c r="K260" s="825"/>
      <c r="L260" s="820"/>
      <c r="M260" s="821"/>
      <c r="N260" s="801"/>
      <c r="O260" s="822"/>
      <c r="P260" s="822"/>
      <c r="Q260" s="822"/>
      <c r="R260" s="822"/>
      <c r="S260" s="822"/>
      <c r="T260" s="822"/>
      <c r="U260" s="822"/>
      <c r="V260" s="822"/>
      <c r="W260" s="822"/>
      <c r="X260" s="822"/>
      <c r="Y260" s="823"/>
      <c r="Z260" s="823"/>
      <c r="AA260" s="823"/>
    </row>
    <row r="261" spans="1:27" x14ac:dyDescent="0.25">
      <c r="A261" s="1035">
        <v>252</v>
      </c>
      <c r="B261" s="1035" t="s">
        <v>50</v>
      </c>
      <c r="C261" s="1035" t="s">
        <v>128</v>
      </c>
      <c r="D261" s="1131" t="s">
        <v>357</v>
      </c>
      <c r="E261" s="1128" t="s">
        <v>16</v>
      </c>
      <c r="I261" s="824"/>
      <c r="J261" s="824"/>
      <c r="K261" s="825"/>
      <c r="L261" s="820"/>
      <c r="M261" s="821"/>
      <c r="N261" s="801"/>
      <c r="O261" s="822"/>
      <c r="P261" s="822"/>
      <c r="Q261" s="822"/>
      <c r="R261" s="822"/>
      <c r="S261" s="822"/>
      <c r="T261" s="822"/>
      <c r="U261" s="822"/>
      <c r="V261" s="822"/>
      <c r="W261" s="822"/>
      <c r="X261" s="822"/>
      <c r="Y261" s="823"/>
      <c r="Z261" s="823"/>
      <c r="AA261" s="823"/>
    </row>
    <row r="262" spans="1:27" x14ac:dyDescent="0.25">
      <c r="A262" s="1035">
        <v>253</v>
      </c>
      <c r="B262" s="1035" t="s">
        <v>50</v>
      </c>
      <c r="C262" s="1035" t="s">
        <v>128</v>
      </c>
      <c r="D262" s="1132" t="s">
        <v>55</v>
      </c>
      <c r="E262" s="1133" t="s">
        <v>16</v>
      </c>
      <c r="F262" s="1134"/>
      <c r="G262" s="1135"/>
      <c r="I262" s="824"/>
      <c r="J262" s="824"/>
      <c r="K262" s="825"/>
      <c r="L262" s="820"/>
      <c r="M262" s="821"/>
      <c r="N262" s="801"/>
      <c r="O262" s="822"/>
      <c r="P262" s="822"/>
      <c r="Q262" s="822"/>
      <c r="R262" s="822"/>
      <c r="S262" s="822"/>
      <c r="T262" s="822"/>
      <c r="U262" s="822"/>
      <c r="V262" s="822"/>
      <c r="W262" s="822"/>
      <c r="X262" s="822"/>
      <c r="Y262" s="823"/>
      <c r="Z262" s="823"/>
      <c r="AA262" s="823"/>
    </row>
    <row r="263" spans="1:27" x14ac:dyDescent="0.25">
      <c r="A263" s="1035">
        <v>254</v>
      </c>
      <c r="B263" s="1035" t="s">
        <v>50</v>
      </c>
      <c r="C263" s="1035" t="s">
        <v>128</v>
      </c>
      <c r="I263" s="824"/>
      <c r="J263" s="824"/>
      <c r="K263" s="825"/>
      <c r="L263" s="820"/>
      <c r="M263" s="821"/>
      <c r="N263" s="801"/>
      <c r="O263" s="822"/>
      <c r="P263" s="822"/>
      <c r="Q263" s="822"/>
      <c r="R263" s="822"/>
      <c r="S263" s="822"/>
      <c r="T263" s="822"/>
      <c r="U263" s="822"/>
      <c r="V263" s="822"/>
      <c r="W263" s="822"/>
      <c r="X263" s="822"/>
      <c r="Y263" s="823"/>
      <c r="Z263" s="823"/>
      <c r="AA263" s="823"/>
    </row>
    <row r="264" spans="1:27" x14ac:dyDescent="0.25">
      <c r="A264" s="1035">
        <v>255</v>
      </c>
      <c r="B264" s="1035" t="s">
        <v>50</v>
      </c>
      <c r="C264" s="1035" t="s">
        <v>128</v>
      </c>
      <c r="D264" s="1136" t="s">
        <v>359</v>
      </c>
      <c r="E264" s="1136" t="s">
        <v>977</v>
      </c>
      <c r="F264" s="1136" t="str">
        <f>HLOOKUP(C264,'Assessment References'!$H$512:$BG$513,2,FALSE)</f>
        <v/>
      </c>
      <c r="G264" s="1137"/>
      <c r="H264" s="1138"/>
      <c r="I264" s="824"/>
      <c r="J264" s="824"/>
      <c r="K264" s="825"/>
      <c r="L264" s="820"/>
      <c r="M264" s="821"/>
      <c r="N264" s="801"/>
      <c r="O264" s="822"/>
      <c r="P264" s="822"/>
      <c r="Q264" s="822"/>
      <c r="R264" s="822"/>
      <c r="S264" s="822"/>
      <c r="T264" s="822"/>
      <c r="U264" s="822"/>
      <c r="V264" s="822"/>
      <c r="W264" s="822"/>
      <c r="X264" s="822"/>
      <c r="Y264" s="823"/>
      <c r="Z264" s="823"/>
      <c r="AA264" s="823"/>
    </row>
    <row r="265" spans="1:27" x14ac:dyDescent="0.25">
      <c r="A265" s="1035">
        <v>256</v>
      </c>
      <c r="B265" s="1035" t="s">
        <v>50</v>
      </c>
      <c r="C265" s="1035" t="s">
        <v>128</v>
      </c>
      <c r="D265" s="1363"/>
      <c r="E265" s="1352"/>
      <c r="F265" s="1352"/>
      <c r="G265" s="1352"/>
      <c r="H265" s="1353"/>
      <c r="I265" s="824"/>
      <c r="J265" s="824"/>
      <c r="K265" s="825"/>
      <c r="L265" s="820"/>
      <c r="M265" s="821"/>
      <c r="N265" s="801"/>
      <c r="O265" s="822"/>
      <c r="P265" s="822"/>
      <c r="Q265" s="822"/>
      <c r="R265" s="822"/>
      <c r="S265" s="822"/>
      <c r="T265" s="822"/>
      <c r="U265" s="822"/>
      <c r="V265" s="822"/>
      <c r="W265" s="822"/>
      <c r="X265" s="822"/>
      <c r="Y265" s="823"/>
      <c r="Z265" s="823"/>
      <c r="AA265" s="823"/>
    </row>
    <row r="266" spans="1:27" x14ac:dyDescent="0.25">
      <c r="A266" s="1035">
        <v>257</v>
      </c>
      <c r="B266" s="1035" t="s">
        <v>50</v>
      </c>
      <c r="C266" s="1035" t="s">
        <v>128</v>
      </c>
      <c r="D266" s="1354"/>
      <c r="E266" s="1355"/>
      <c r="F266" s="1355"/>
      <c r="G266" s="1355"/>
      <c r="H266" s="1356"/>
      <c r="I266" s="824"/>
      <c r="J266" s="824"/>
      <c r="K266" s="825"/>
      <c r="L266" s="820"/>
      <c r="M266" s="821"/>
      <c r="N266" s="801"/>
      <c r="O266" s="822"/>
      <c r="P266" s="822"/>
      <c r="Q266" s="822"/>
      <c r="R266" s="822"/>
      <c r="S266" s="822"/>
      <c r="T266" s="822"/>
      <c r="U266" s="822"/>
      <c r="V266" s="822"/>
      <c r="W266" s="822"/>
      <c r="X266" s="822"/>
      <c r="Y266" s="823"/>
      <c r="Z266" s="823"/>
      <c r="AA266" s="823"/>
    </row>
    <row r="267" spans="1:27" x14ac:dyDescent="0.25">
      <c r="A267" s="1035">
        <v>258</v>
      </c>
      <c r="B267" s="1035" t="s">
        <v>50</v>
      </c>
      <c r="C267" s="1035" t="s">
        <v>128</v>
      </c>
      <c r="D267" s="1354"/>
      <c r="E267" s="1355"/>
      <c r="F267" s="1355"/>
      <c r="G267" s="1355"/>
      <c r="H267" s="1356"/>
      <c r="I267" s="824"/>
      <c r="J267" s="824"/>
      <c r="K267" s="825"/>
      <c r="L267" s="820"/>
      <c r="M267" s="821"/>
      <c r="N267" s="801"/>
      <c r="O267" s="822"/>
      <c r="P267" s="822"/>
      <c r="Q267" s="822"/>
      <c r="R267" s="822"/>
      <c r="S267" s="822"/>
      <c r="T267" s="822"/>
      <c r="U267" s="822"/>
      <c r="V267" s="822"/>
      <c r="W267" s="822"/>
      <c r="X267" s="822"/>
      <c r="Y267" s="823"/>
      <c r="Z267" s="823"/>
      <c r="AA267" s="823"/>
    </row>
    <row r="268" spans="1:27" x14ac:dyDescent="0.25">
      <c r="A268" s="1035">
        <v>259</v>
      </c>
      <c r="B268" s="1035" t="s">
        <v>50</v>
      </c>
      <c r="C268" s="1035" t="s">
        <v>128</v>
      </c>
      <c r="D268" s="1364"/>
      <c r="E268" s="1358"/>
      <c r="F268" s="1358"/>
      <c r="G268" s="1358"/>
      <c r="H268" s="1359"/>
      <c r="I268" s="824"/>
      <c r="J268" s="824"/>
      <c r="K268" s="825"/>
      <c r="L268" s="820"/>
      <c r="M268" s="821"/>
      <c r="N268" s="801"/>
      <c r="O268" s="822"/>
      <c r="P268" s="822"/>
      <c r="Q268" s="822"/>
      <c r="R268" s="822"/>
      <c r="S268" s="822"/>
      <c r="T268" s="822"/>
      <c r="U268" s="822"/>
      <c r="V268" s="822"/>
      <c r="W268" s="822"/>
      <c r="X268" s="822"/>
      <c r="Y268" s="823"/>
      <c r="Z268" s="823"/>
      <c r="AA268" s="823"/>
    </row>
    <row r="269" spans="1:27" x14ac:dyDescent="0.25">
      <c r="A269" s="1035">
        <v>260</v>
      </c>
      <c r="B269" s="1035" t="s">
        <v>50</v>
      </c>
      <c r="C269" s="1035" t="s">
        <v>128</v>
      </c>
      <c r="D269" s="1364"/>
      <c r="E269" s="1358"/>
      <c r="F269" s="1358"/>
      <c r="G269" s="1358"/>
      <c r="H269" s="1359"/>
      <c r="I269" s="1029"/>
      <c r="K269" s="783"/>
      <c r="L269" s="820"/>
      <c r="M269" s="821"/>
      <c r="N269" s="801"/>
      <c r="O269" s="822"/>
      <c r="P269" s="822"/>
      <c r="Q269" s="822"/>
      <c r="R269" s="822"/>
      <c r="S269" s="822"/>
      <c r="T269" s="822"/>
      <c r="U269" s="822"/>
      <c r="V269" s="822"/>
      <c r="W269" s="822"/>
      <c r="X269" s="822"/>
      <c r="Y269" s="823"/>
      <c r="Z269" s="823"/>
      <c r="AA269" s="823"/>
    </row>
    <row r="270" spans="1:27" x14ac:dyDescent="0.25">
      <c r="A270" s="1035">
        <v>261</v>
      </c>
      <c r="B270" s="1035" t="s">
        <v>50</v>
      </c>
      <c r="C270" s="1035" t="s">
        <v>128</v>
      </c>
      <c r="D270" s="1360"/>
      <c r="E270" s="1361"/>
      <c r="F270" s="1361"/>
      <c r="G270" s="1361"/>
      <c r="H270" s="1362"/>
      <c r="I270" s="1029"/>
      <c r="K270" s="783"/>
      <c r="L270" s="820"/>
      <c r="M270" s="821"/>
      <c r="N270" s="801"/>
      <c r="O270" s="822"/>
      <c r="P270" s="822"/>
      <c r="Q270" s="822"/>
      <c r="R270" s="822"/>
      <c r="S270" s="822"/>
      <c r="T270" s="822"/>
      <c r="U270" s="822"/>
      <c r="V270" s="822"/>
      <c r="W270" s="822"/>
      <c r="X270" s="822"/>
      <c r="Y270" s="823"/>
      <c r="Z270" s="823"/>
      <c r="AA270" s="823"/>
    </row>
    <row r="271" spans="1:27" ht="15.75" thickBot="1" x14ac:dyDescent="0.3">
      <c r="A271" s="1035">
        <v>262</v>
      </c>
      <c r="B271" s="1035" t="s">
        <v>50</v>
      </c>
      <c r="C271" s="1035" t="s">
        <v>128</v>
      </c>
      <c r="I271" s="1029"/>
      <c r="K271" s="783"/>
      <c r="L271" s="820"/>
      <c r="M271" s="821"/>
      <c r="N271" s="801"/>
      <c r="O271" s="822"/>
      <c r="P271" s="822"/>
      <c r="Q271" s="822"/>
      <c r="R271" s="822"/>
      <c r="S271" s="822"/>
      <c r="T271" s="822"/>
      <c r="U271" s="822"/>
      <c r="V271" s="822"/>
      <c r="W271" s="822"/>
      <c r="X271" s="822"/>
      <c r="Y271" s="823"/>
      <c r="Z271" s="823"/>
      <c r="AA271" s="823"/>
    </row>
    <row r="272" spans="1:27" ht="15.75" thickBot="1" x14ac:dyDescent="0.3">
      <c r="A272" s="1037">
        <v>263</v>
      </c>
      <c r="B272" s="1037" t="s">
        <v>50</v>
      </c>
      <c r="C272" s="827" t="s">
        <v>129</v>
      </c>
      <c r="D272" s="1157" t="s">
        <v>888</v>
      </c>
      <c r="E272" s="1158"/>
      <c r="F272" s="1158"/>
      <c r="G272" s="1159"/>
      <c r="H272" s="1159"/>
      <c r="I272" s="1029"/>
      <c r="K272" s="783"/>
      <c r="L272" s="809" t="str">
        <f>C272</f>
        <v>Hea 05</v>
      </c>
      <c r="M272" s="821"/>
      <c r="N272" s="801"/>
      <c r="O272" s="822"/>
      <c r="P272" s="822"/>
      <c r="Q272" s="822"/>
      <c r="R272" s="822"/>
      <c r="S272" s="822"/>
      <c r="T272" s="822"/>
      <c r="U272" s="822"/>
      <c r="V272" s="822"/>
      <c r="W272" s="822"/>
      <c r="X272" s="822"/>
      <c r="Y272" s="823"/>
      <c r="Z272" s="823"/>
      <c r="AA272" s="823"/>
    </row>
    <row r="273" spans="1:27" x14ac:dyDescent="0.25">
      <c r="A273" s="1035">
        <v>264</v>
      </c>
      <c r="B273" s="1035" t="s">
        <v>50</v>
      </c>
      <c r="C273" s="1035" t="s">
        <v>129</v>
      </c>
      <c r="D273" s="1107" t="s">
        <v>17</v>
      </c>
      <c r="E273" s="1108">
        <f>Hea05_credits</f>
        <v>2</v>
      </c>
      <c r="F273" s="1109"/>
      <c r="G273" s="1110" t="s">
        <v>85</v>
      </c>
      <c r="H273" s="1111">
        <f>Hea05_07</f>
        <v>1.4999999999999999E-2</v>
      </c>
      <c r="I273" s="1029"/>
      <c r="K273" s="783"/>
      <c r="L273" s="841" t="str">
        <f>ADBT0</f>
        <v>Office</v>
      </c>
      <c r="M273" s="821"/>
      <c r="N273" s="801"/>
      <c r="O273" s="822"/>
      <c r="P273" s="822"/>
      <c r="Q273" s="822"/>
      <c r="R273" s="822"/>
      <c r="S273" s="822"/>
      <c r="T273" s="822"/>
      <c r="U273" s="822"/>
      <c r="V273" s="822"/>
      <c r="W273" s="822"/>
      <c r="X273" s="822"/>
      <c r="Y273" s="823"/>
      <c r="Z273" s="823"/>
      <c r="AA273" s="823"/>
    </row>
    <row r="274" spans="1:27" ht="15.75" thickBot="1" x14ac:dyDescent="0.3">
      <c r="A274" s="1035">
        <v>265</v>
      </c>
      <c r="B274" s="1035" t="s">
        <v>50</v>
      </c>
      <c r="C274" s="1035" t="s">
        <v>129</v>
      </c>
      <c r="D274" s="1112" t="s">
        <v>349</v>
      </c>
      <c r="E274" s="1113">
        <v>0</v>
      </c>
      <c r="F274" s="1114"/>
      <c r="G274" s="1115" t="s">
        <v>350</v>
      </c>
      <c r="H274" s="1116" t="s">
        <v>15</v>
      </c>
      <c r="I274" s="1029"/>
      <c r="K274" s="783"/>
      <c r="L274" s="845" t="str">
        <f>ADBT12</f>
        <v>Residential</v>
      </c>
      <c r="M274" s="821"/>
      <c r="N274" s="801"/>
      <c r="O274" s="822"/>
      <c r="P274" s="822"/>
      <c r="Q274" s="822"/>
      <c r="R274" s="822"/>
      <c r="S274" s="822"/>
      <c r="T274" s="822"/>
      <c r="U274" s="822"/>
      <c r="V274" s="822"/>
      <c r="W274" s="822"/>
      <c r="X274" s="822"/>
      <c r="Y274" s="823"/>
      <c r="Z274" s="823"/>
      <c r="AA274" s="823"/>
    </row>
    <row r="275" spans="1:27" ht="15.75" thickBot="1" x14ac:dyDescent="0.3">
      <c r="A275" s="1035">
        <v>266</v>
      </c>
      <c r="B275" s="1035" t="s">
        <v>50</v>
      </c>
      <c r="C275" s="1035" t="s">
        <v>129</v>
      </c>
      <c r="I275" s="1029"/>
      <c r="K275" s="783"/>
      <c r="L275" s="841" t="s">
        <v>360</v>
      </c>
      <c r="M275" s="841">
        <v>0</v>
      </c>
      <c r="N275" s="801"/>
      <c r="O275" s="822"/>
      <c r="P275" s="822"/>
      <c r="Q275" s="822"/>
      <c r="R275" s="822"/>
      <c r="S275" s="822"/>
      <c r="T275" s="822"/>
      <c r="U275" s="822"/>
      <c r="V275" s="822"/>
      <c r="W275" s="822"/>
      <c r="X275" s="822"/>
      <c r="Y275" s="823"/>
      <c r="Z275" s="823"/>
      <c r="AA275" s="823"/>
    </row>
    <row r="276" spans="1:27" ht="15.75" thickBot="1" x14ac:dyDescent="0.3">
      <c r="A276" s="1035">
        <v>267</v>
      </c>
      <c r="B276" s="1035" t="s">
        <v>50</v>
      </c>
      <c r="C276" s="1035" t="s">
        <v>129</v>
      </c>
      <c r="D276" s="1142" t="s">
        <v>390</v>
      </c>
      <c r="E276" s="1098" t="s">
        <v>360</v>
      </c>
      <c r="F276" s="1145" t="str">
        <f>IF(OR(E276=AIS_No,E276=AIS_PS),"Pre-requisite: Please select yes","")</f>
        <v>Pre-requisite: Please select yes</v>
      </c>
      <c r="I276" s="1029"/>
      <c r="K276" s="783"/>
      <c r="L276" s="846" t="s">
        <v>803</v>
      </c>
      <c r="M276" s="846">
        <f>IF(L282=AIS_Yes,(IF(E273=L283,L285,L288)),IF(L273=L274,2,1))</f>
        <v>1</v>
      </c>
      <c r="N276" s="801"/>
      <c r="O276" s="822"/>
      <c r="P276" s="822"/>
      <c r="Q276" s="822"/>
      <c r="R276" s="822"/>
      <c r="S276" s="822"/>
      <c r="T276" s="822"/>
      <c r="U276" s="822"/>
      <c r="V276" s="822"/>
      <c r="W276" s="822"/>
      <c r="X276" s="822"/>
      <c r="Y276" s="823"/>
      <c r="Z276" s="823"/>
      <c r="AA276" s="823"/>
    </row>
    <row r="277" spans="1:27" x14ac:dyDescent="0.25">
      <c r="A277" s="1035">
        <v>268</v>
      </c>
      <c r="B277" s="1035" t="s">
        <v>50</v>
      </c>
      <c r="C277" s="1035" t="s">
        <v>129</v>
      </c>
      <c r="I277" s="1029"/>
      <c r="K277" s="783"/>
      <c r="L277" s="846" t="s">
        <v>804</v>
      </c>
      <c r="M277" s="846">
        <f>IF(L282=AIS_Yes,(IF(E273=L283,L286,L289)),IF(L273=L274,4,2))</f>
        <v>2</v>
      </c>
      <c r="N277" s="801"/>
      <c r="O277" s="822"/>
      <c r="P277" s="822"/>
      <c r="Q277" s="822"/>
      <c r="R277" s="822"/>
      <c r="S277" s="822"/>
      <c r="T277" s="822"/>
      <c r="U277" s="822"/>
      <c r="V277" s="822"/>
      <c r="W277" s="822"/>
      <c r="X277" s="822"/>
      <c r="Y277" s="823"/>
      <c r="Z277" s="823"/>
      <c r="AA277" s="823"/>
    </row>
    <row r="278" spans="1:27" ht="15.75" thickBot="1" x14ac:dyDescent="0.3">
      <c r="A278" s="1035">
        <v>269</v>
      </c>
      <c r="B278" s="1035" t="s">
        <v>50</v>
      </c>
      <c r="C278" s="1035" t="s">
        <v>129</v>
      </c>
      <c r="D278" s="1117" t="s">
        <v>801</v>
      </c>
      <c r="E278" s="1118" t="s">
        <v>352</v>
      </c>
      <c r="F278" s="1118" t="s">
        <v>353</v>
      </c>
      <c r="G278" s="1118" t="s">
        <v>354</v>
      </c>
      <c r="H278" s="1118" t="s">
        <v>355</v>
      </c>
      <c r="I278" s="1029"/>
      <c r="K278" s="783"/>
      <c r="L278" s="842" t="s">
        <v>805</v>
      </c>
      <c r="M278" s="842">
        <v>0</v>
      </c>
      <c r="N278" s="801"/>
      <c r="O278" s="822"/>
      <c r="P278" s="822"/>
      <c r="Q278" s="822"/>
      <c r="R278" s="822"/>
      <c r="S278" s="822"/>
      <c r="T278" s="822"/>
      <c r="U278" s="822"/>
      <c r="V278" s="822"/>
      <c r="W278" s="822"/>
      <c r="X278" s="822"/>
      <c r="Y278" s="823"/>
      <c r="Z278" s="823"/>
      <c r="AA278" s="823"/>
    </row>
    <row r="279" spans="1:27" ht="15.75" thickBot="1" x14ac:dyDescent="0.3">
      <c r="A279" s="1035">
        <v>270</v>
      </c>
      <c r="B279" s="1035" t="s">
        <v>50</v>
      </c>
      <c r="C279" s="1035" t="s">
        <v>129</v>
      </c>
      <c r="D279" s="1142" t="s">
        <v>802</v>
      </c>
      <c r="E279" s="1098" t="s">
        <v>804</v>
      </c>
      <c r="F279" s="1143">
        <f>IF(E276=AIS_No,0,E273)</f>
        <v>2</v>
      </c>
      <c r="G279" s="1143">
        <f>IF(E276=AIS_PS,0,IF(F279=0,0,VLOOKUP(E279,L275:M278,2,FALSE)))</f>
        <v>0</v>
      </c>
      <c r="H279" s="1327" t="s">
        <v>16</v>
      </c>
      <c r="I279" s="1029"/>
      <c r="K279" s="783"/>
      <c r="L279" s="840"/>
      <c r="M279" s="821"/>
      <c r="N279" s="801"/>
      <c r="O279" s="102" t="s">
        <v>1273</v>
      </c>
      <c r="P279" s="822"/>
      <c r="Q279" s="822"/>
      <c r="R279" s="822"/>
      <c r="S279" s="822"/>
      <c r="T279" s="822"/>
      <c r="U279" s="822" t="str">
        <f>$T$4</f>
        <v>No</v>
      </c>
      <c r="V279" s="822"/>
      <c r="W279" s="822"/>
      <c r="X279" s="822"/>
      <c r="Y279" s="823"/>
      <c r="Z279" s="823"/>
      <c r="AA279" s="823"/>
    </row>
    <row r="280" spans="1:27" x14ac:dyDescent="0.25">
      <c r="A280" s="1035">
        <v>271</v>
      </c>
      <c r="B280" s="1035" t="s">
        <v>50</v>
      </c>
      <c r="C280" s="1035" t="s">
        <v>129</v>
      </c>
      <c r="I280" s="1029"/>
      <c r="K280" s="783"/>
      <c r="L280" s="820"/>
      <c r="M280" s="821"/>
      <c r="N280" s="801"/>
      <c r="O280" s="822"/>
      <c r="P280" s="822"/>
      <c r="Q280" s="822"/>
      <c r="R280" s="822"/>
      <c r="S280" s="822"/>
      <c r="T280" s="822"/>
      <c r="U280" s="822"/>
      <c r="V280" s="822"/>
      <c r="W280" s="822"/>
      <c r="X280" s="822"/>
      <c r="Y280" s="823"/>
      <c r="Z280" s="823"/>
      <c r="AA280" s="823"/>
    </row>
    <row r="281" spans="1:27" x14ac:dyDescent="0.25">
      <c r="A281" s="1035">
        <v>272</v>
      </c>
      <c r="B281" s="1035" t="s">
        <v>50</v>
      </c>
      <c r="C281" s="1035" t="s">
        <v>129</v>
      </c>
      <c r="D281" s="1127" t="s">
        <v>356</v>
      </c>
      <c r="E281" s="1128">
        <f>G279</f>
        <v>0</v>
      </c>
      <c r="I281" s="1029"/>
      <c r="K281" s="783"/>
      <c r="L281" s="1075" t="s">
        <v>1167</v>
      </c>
      <c r="M281" s="821"/>
      <c r="N281" s="801"/>
      <c r="O281" s="822"/>
      <c r="P281" s="822"/>
      <c r="Q281" s="822"/>
      <c r="R281" s="822"/>
      <c r="S281" s="822"/>
      <c r="T281" s="822"/>
      <c r="U281" s="822"/>
      <c r="V281" s="822"/>
      <c r="W281" s="822"/>
      <c r="X281" s="822"/>
      <c r="Y281" s="823"/>
      <c r="Z281" s="823"/>
      <c r="AA281" s="823"/>
    </row>
    <row r="282" spans="1:27" x14ac:dyDescent="0.25">
      <c r="A282" s="1035">
        <v>273</v>
      </c>
      <c r="B282" s="1035" t="s">
        <v>50</v>
      </c>
      <c r="C282" s="1035" t="s">
        <v>129</v>
      </c>
      <c r="D282" s="1129" t="s">
        <v>86</v>
      </c>
      <c r="E282" s="1130">
        <f>Hea05_08</f>
        <v>0</v>
      </c>
      <c r="I282" s="1029"/>
      <c r="K282" s="783"/>
      <c r="L282" s="820" t="str">
        <f>'Manuell filtrering og justering'!H2</f>
        <v>No</v>
      </c>
      <c r="M282" s="821"/>
      <c r="N282" s="801"/>
      <c r="O282" s="822"/>
      <c r="P282" s="822"/>
      <c r="Q282" s="822"/>
      <c r="R282" s="822"/>
      <c r="S282" s="822"/>
      <c r="T282" s="822"/>
      <c r="U282" s="822"/>
      <c r="V282" s="822"/>
      <c r="W282" s="822"/>
      <c r="X282" s="822"/>
      <c r="Y282" s="823"/>
      <c r="Z282" s="823"/>
      <c r="AA282" s="823"/>
    </row>
    <row r="283" spans="1:27" x14ac:dyDescent="0.25">
      <c r="A283" s="1035">
        <v>274</v>
      </c>
      <c r="B283" s="1035" t="s">
        <v>50</v>
      </c>
      <c r="C283" s="1035" t="s">
        <v>129</v>
      </c>
      <c r="D283" s="1131" t="s">
        <v>357</v>
      </c>
      <c r="E283" s="1128" t="s">
        <v>16</v>
      </c>
      <c r="I283" s="1029"/>
      <c r="K283" s="783"/>
      <c r="L283" s="820">
        <v>2</v>
      </c>
      <c r="M283" s="821"/>
      <c r="N283" s="801"/>
      <c r="O283" s="822"/>
      <c r="P283" s="822"/>
      <c r="Q283" s="822"/>
      <c r="R283" s="822"/>
      <c r="S283" s="822"/>
      <c r="T283" s="822"/>
      <c r="U283" s="822"/>
      <c r="V283" s="822"/>
      <c r="W283" s="822"/>
      <c r="X283" s="822"/>
      <c r="Y283" s="823"/>
      <c r="Z283" s="823"/>
      <c r="AA283" s="823"/>
    </row>
    <row r="284" spans="1:27" x14ac:dyDescent="0.25">
      <c r="A284" s="1035">
        <v>275</v>
      </c>
      <c r="B284" s="1035" t="s">
        <v>50</v>
      </c>
      <c r="C284" s="1035" t="s">
        <v>129</v>
      </c>
      <c r="D284" s="1132" t="s">
        <v>55</v>
      </c>
      <c r="E284" s="1133" t="s">
        <v>16</v>
      </c>
      <c r="F284" s="1134"/>
      <c r="G284" s="1135"/>
      <c r="I284" s="1029"/>
      <c r="K284" s="783"/>
      <c r="L284" s="820"/>
      <c r="M284" s="821"/>
      <c r="N284" s="801"/>
      <c r="O284" s="822"/>
      <c r="P284" s="822"/>
      <c r="Q284" s="822"/>
      <c r="R284" s="822"/>
      <c r="S284" s="822"/>
      <c r="T284" s="822"/>
      <c r="U284" s="822"/>
      <c r="V284" s="822"/>
      <c r="W284" s="822"/>
      <c r="X284" s="822"/>
      <c r="Y284" s="823"/>
      <c r="Z284" s="823"/>
      <c r="AA284" s="823"/>
    </row>
    <row r="285" spans="1:27" x14ac:dyDescent="0.25">
      <c r="A285" s="1035">
        <v>276</v>
      </c>
      <c r="B285" s="1035" t="s">
        <v>50</v>
      </c>
      <c r="C285" s="1035" t="s">
        <v>129</v>
      </c>
      <c r="I285" s="1029"/>
      <c r="K285" s="783"/>
      <c r="L285" s="820">
        <v>1</v>
      </c>
      <c r="M285" s="821"/>
      <c r="N285" s="801"/>
      <c r="O285" s="822"/>
      <c r="P285" s="822"/>
      <c r="Q285" s="822"/>
      <c r="R285" s="822"/>
      <c r="S285" s="822"/>
      <c r="T285" s="822"/>
      <c r="U285" s="822"/>
      <c r="V285" s="822"/>
      <c r="W285" s="822"/>
      <c r="X285" s="822"/>
      <c r="Y285" s="823"/>
      <c r="Z285" s="823"/>
      <c r="AA285" s="823"/>
    </row>
    <row r="286" spans="1:27" x14ac:dyDescent="0.25">
      <c r="A286" s="1035">
        <v>277</v>
      </c>
      <c r="B286" s="1035" t="s">
        <v>50</v>
      </c>
      <c r="C286" s="1035" t="s">
        <v>129</v>
      </c>
      <c r="D286" s="1136" t="s">
        <v>359</v>
      </c>
      <c r="E286" s="1136" t="s">
        <v>977</v>
      </c>
      <c r="F286" s="1136" t="str">
        <f>HLOOKUP(C286,'Assessment References'!$H$512:$BG$513,2,FALSE)</f>
        <v/>
      </c>
      <c r="G286" s="1137"/>
      <c r="H286" s="1138"/>
      <c r="I286" s="1029"/>
      <c r="K286" s="783"/>
      <c r="L286" s="820">
        <v>2</v>
      </c>
      <c r="M286" s="821"/>
      <c r="N286" s="801"/>
      <c r="O286" s="822"/>
      <c r="P286" s="822"/>
      <c r="Q286" s="822"/>
      <c r="R286" s="822"/>
      <c r="S286" s="822"/>
      <c r="T286" s="822"/>
      <c r="U286" s="822"/>
      <c r="V286" s="822"/>
      <c r="W286" s="822"/>
      <c r="X286" s="822"/>
      <c r="Y286" s="823"/>
      <c r="Z286" s="823"/>
      <c r="AA286" s="823"/>
    </row>
    <row r="287" spans="1:27" x14ac:dyDescent="0.25">
      <c r="A287" s="1035">
        <v>278</v>
      </c>
      <c r="B287" s="1035" t="s">
        <v>50</v>
      </c>
      <c r="C287" s="1035" t="s">
        <v>129</v>
      </c>
      <c r="D287" s="1363"/>
      <c r="E287" s="1352"/>
      <c r="F287" s="1352"/>
      <c r="G287" s="1352"/>
      <c r="H287" s="1353"/>
      <c r="I287" s="1029"/>
      <c r="K287" s="783"/>
      <c r="L287" s="820"/>
      <c r="M287" s="821"/>
      <c r="N287" s="801"/>
      <c r="O287" s="822"/>
      <c r="P287" s="822"/>
      <c r="Q287" s="822"/>
      <c r="R287" s="822"/>
      <c r="S287" s="822"/>
      <c r="T287" s="822"/>
      <c r="U287" s="822"/>
      <c r="V287" s="822"/>
      <c r="W287" s="822"/>
      <c r="X287" s="822"/>
      <c r="Y287" s="823"/>
      <c r="Z287" s="823"/>
      <c r="AA287" s="823"/>
    </row>
    <row r="288" spans="1:27" x14ac:dyDescent="0.25">
      <c r="A288" s="1035">
        <v>279</v>
      </c>
      <c r="B288" s="1035" t="s">
        <v>50</v>
      </c>
      <c r="C288" s="1035" t="s">
        <v>129</v>
      </c>
      <c r="D288" s="1354"/>
      <c r="E288" s="1355"/>
      <c r="F288" s="1355"/>
      <c r="G288" s="1355"/>
      <c r="H288" s="1356"/>
      <c r="I288" s="1029"/>
      <c r="K288" s="783"/>
      <c r="L288" s="820">
        <v>2</v>
      </c>
      <c r="M288" s="821"/>
      <c r="N288" s="801"/>
      <c r="O288" s="822"/>
      <c r="P288" s="822"/>
      <c r="Q288" s="822"/>
      <c r="R288" s="822"/>
      <c r="S288" s="822"/>
      <c r="T288" s="822"/>
      <c r="U288" s="822"/>
      <c r="V288" s="822"/>
      <c r="W288" s="822"/>
      <c r="X288" s="822"/>
      <c r="Y288" s="823"/>
      <c r="Z288" s="823"/>
      <c r="AA288" s="823"/>
    </row>
    <row r="289" spans="1:27" x14ac:dyDescent="0.25">
      <c r="A289" s="1035">
        <v>280</v>
      </c>
      <c r="B289" s="1035" t="s">
        <v>50</v>
      </c>
      <c r="C289" s="1035" t="s">
        <v>129</v>
      </c>
      <c r="D289" s="1354"/>
      <c r="E289" s="1355"/>
      <c r="F289" s="1355"/>
      <c r="G289" s="1355"/>
      <c r="H289" s="1356"/>
      <c r="I289" s="1029"/>
      <c r="K289" s="783"/>
      <c r="L289" s="820">
        <v>4</v>
      </c>
      <c r="M289" s="821"/>
      <c r="N289" s="801"/>
      <c r="O289" s="822"/>
      <c r="P289" s="822"/>
      <c r="Q289" s="822"/>
      <c r="R289" s="822"/>
      <c r="S289" s="822"/>
      <c r="T289" s="822"/>
      <c r="U289" s="822"/>
      <c r="V289" s="822"/>
      <c r="W289" s="822"/>
      <c r="X289" s="822"/>
      <c r="Y289" s="823"/>
      <c r="Z289" s="823"/>
      <c r="AA289" s="823"/>
    </row>
    <row r="290" spans="1:27" x14ac:dyDescent="0.25">
      <c r="A290" s="1035">
        <v>281</v>
      </c>
      <c r="B290" s="1035" t="s">
        <v>50</v>
      </c>
      <c r="C290" s="1035" t="s">
        <v>129</v>
      </c>
      <c r="D290" s="1364"/>
      <c r="E290" s="1358"/>
      <c r="F290" s="1358"/>
      <c r="G290" s="1358"/>
      <c r="H290" s="1359"/>
      <c r="I290" s="1029"/>
      <c r="K290" s="783"/>
      <c r="L290" s="820"/>
      <c r="M290" s="821"/>
      <c r="N290" s="801"/>
      <c r="O290" s="822"/>
      <c r="P290" s="822"/>
      <c r="Q290" s="822"/>
      <c r="R290" s="822"/>
      <c r="S290" s="822"/>
      <c r="T290" s="822"/>
      <c r="U290" s="822"/>
      <c r="V290" s="822"/>
      <c r="W290" s="822"/>
      <c r="X290" s="822"/>
      <c r="Y290" s="823"/>
      <c r="Z290" s="823"/>
      <c r="AA290" s="823"/>
    </row>
    <row r="291" spans="1:27" x14ac:dyDescent="0.25">
      <c r="A291" s="1035">
        <v>282</v>
      </c>
      <c r="B291" s="1035" t="s">
        <v>50</v>
      </c>
      <c r="C291" s="1035" t="s">
        <v>129</v>
      </c>
      <c r="D291" s="1364"/>
      <c r="E291" s="1358"/>
      <c r="F291" s="1358"/>
      <c r="G291" s="1358"/>
      <c r="H291" s="1359"/>
      <c r="I291" s="1029"/>
      <c r="K291" s="783"/>
      <c r="L291" s="820"/>
      <c r="M291" s="821"/>
      <c r="N291" s="801"/>
      <c r="O291" s="822"/>
      <c r="P291" s="822"/>
      <c r="Q291" s="822"/>
      <c r="R291" s="822"/>
      <c r="S291" s="822"/>
      <c r="T291" s="822"/>
      <c r="U291" s="822"/>
      <c r="V291" s="822"/>
      <c r="W291" s="822"/>
      <c r="X291" s="822"/>
      <c r="Y291" s="823"/>
      <c r="Z291" s="823"/>
      <c r="AA291" s="823"/>
    </row>
    <row r="292" spans="1:27" x14ac:dyDescent="0.25">
      <c r="A292" s="1035">
        <v>283</v>
      </c>
      <c r="B292" s="1035" t="s">
        <v>50</v>
      </c>
      <c r="C292" s="1035" t="s">
        <v>129</v>
      </c>
      <c r="D292" s="1360"/>
      <c r="E292" s="1361"/>
      <c r="F292" s="1361"/>
      <c r="G292" s="1361"/>
      <c r="H292" s="1362"/>
      <c r="I292" s="1029"/>
      <c r="K292" s="783"/>
      <c r="L292" s="820"/>
      <c r="M292" s="821"/>
      <c r="N292" s="801"/>
      <c r="O292" s="822"/>
      <c r="P292" s="822"/>
      <c r="Q292" s="822"/>
      <c r="R292" s="822"/>
      <c r="S292" s="822"/>
      <c r="T292" s="822"/>
      <c r="U292" s="822"/>
      <c r="V292" s="822"/>
      <c r="W292" s="822"/>
      <c r="X292" s="822"/>
      <c r="Y292" s="823"/>
      <c r="Z292" s="823"/>
      <c r="AA292" s="823"/>
    </row>
    <row r="293" spans="1:27" ht="15.75" thickBot="1" x14ac:dyDescent="0.3">
      <c r="A293" s="1035">
        <v>284</v>
      </c>
      <c r="B293" s="1035" t="s">
        <v>50</v>
      </c>
      <c r="C293" s="1035" t="s">
        <v>129</v>
      </c>
      <c r="I293" s="1029"/>
      <c r="K293" s="783"/>
      <c r="L293" s="820"/>
      <c r="M293" s="821"/>
      <c r="N293" s="801"/>
      <c r="O293" s="822"/>
      <c r="P293" s="822"/>
      <c r="Q293" s="822"/>
      <c r="R293" s="822"/>
      <c r="S293" s="822"/>
      <c r="T293" s="822"/>
      <c r="U293" s="822"/>
      <c r="V293" s="822"/>
      <c r="W293" s="822"/>
      <c r="X293" s="822"/>
      <c r="Y293" s="823"/>
      <c r="Z293" s="823"/>
      <c r="AA293" s="823"/>
    </row>
    <row r="294" spans="1:27" x14ac:dyDescent="0.25">
      <c r="A294" s="1037">
        <v>285</v>
      </c>
      <c r="B294" s="1037" t="s">
        <v>50</v>
      </c>
      <c r="C294" s="827" t="s">
        <v>130</v>
      </c>
      <c r="D294" s="1157" t="s">
        <v>889</v>
      </c>
      <c r="E294" s="1158"/>
      <c r="F294" s="1158"/>
      <c r="G294" s="1159"/>
      <c r="H294" s="1167" t="str">
        <f>IF(Hea06_credits=AIS_credit00,AIS_statement32,"")</f>
        <v/>
      </c>
      <c r="I294" s="1029"/>
      <c r="K294" s="783"/>
      <c r="L294" s="809" t="str">
        <f>C294</f>
        <v>Hea 06</v>
      </c>
      <c r="M294" s="821"/>
      <c r="N294" s="801"/>
      <c r="O294" s="822"/>
      <c r="P294" s="822"/>
      <c r="Q294" s="822"/>
      <c r="R294" s="822"/>
      <c r="S294" s="822"/>
      <c r="T294" s="822"/>
      <c r="U294" s="822"/>
      <c r="V294" s="822"/>
      <c r="W294" s="822"/>
      <c r="X294" s="822"/>
      <c r="Y294" s="823"/>
      <c r="Z294" s="823"/>
      <c r="AA294" s="823"/>
    </row>
    <row r="295" spans="1:27" x14ac:dyDescent="0.25">
      <c r="A295" s="1035">
        <v>286</v>
      </c>
      <c r="B295" s="1035" t="s">
        <v>50</v>
      </c>
      <c r="C295" s="1035" t="s">
        <v>130</v>
      </c>
      <c r="D295" s="1107" t="s">
        <v>17</v>
      </c>
      <c r="E295" s="1108">
        <f>Hea06_credits</f>
        <v>2</v>
      </c>
      <c r="F295" s="1109"/>
      <c r="G295" s="1110" t="s">
        <v>85</v>
      </c>
      <c r="H295" s="1111">
        <f>Hea06_07</f>
        <v>1.4999999999999999E-2</v>
      </c>
      <c r="I295" s="1029"/>
      <c r="K295" s="783"/>
      <c r="L295" s="820"/>
      <c r="M295" s="821"/>
      <c r="N295" s="801"/>
      <c r="O295" s="822"/>
      <c r="P295" s="822"/>
      <c r="Q295" s="822"/>
      <c r="R295" s="822"/>
      <c r="S295" s="822"/>
      <c r="T295" s="822"/>
      <c r="U295" s="822"/>
      <c r="V295" s="822"/>
      <c r="W295" s="822"/>
      <c r="X295" s="822"/>
      <c r="Y295" s="823"/>
      <c r="Z295" s="823"/>
      <c r="AA295" s="823"/>
    </row>
    <row r="296" spans="1:27" x14ac:dyDescent="0.25">
      <c r="A296" s="1035">
        <v>287</v>
      </c>
      <c r="B296" s="1035" t="s">
        <v>50</v>
      </c>
      <c r="C296" s="1035" t="s">
        <v>130</v>
      </c>
      <c r="D296" s="1112" t="s">
        <v>349</v>
      </c>
      <c r="E296" s="1113">
        <v>0</v>
      </c>
      <c r="F296" s="1114"/>
      <c r="G296" s="1115" t="s">
        <v>350</v>
      </c>
      <c r="H296" s="1116" t="s">
        <v>15</v>
      </c>
      <c r="I296" s="1029"/>
      <c r="K296" s="783"/>
      <c r="L296" s="820"/>
      <c r="M296" s="821"/>
      <c r="N296" s="801"/>
      <c r="O296" s="822"/>
      <c r="P296" s="822"/>
      <c r="Q296" s="822"/>
      <c r="R296" s="822"/>
      <c r="S296" s="822"/>
      <c r="T296" s="822"/>
      <c r="U296" s="822"/>
      <c r="V296" s="822"/>
      <c r="W296" s="822"/>
      <c r="X296" s="822"/>
      <c r="Y296" s="823"/>
      <c r="Z296" s="823"/>
      <c r="AA296" s="823"/>
    </row>
    <row r="297" spans="1:27" x14ac:dyDescent="0.25">
      <c r="A297" s="1035">
        <v>288</v>
      </c>
      <c r="B297" s="1035" t="s">
        <v>50</v>
      </c>
      <c r="C297" s="1035" t="s">
        <v>130</v>
      </c>
      <c r="I297" s="1029"/>
      <c r="K297" s="783"/>
      <c r="L297" s="1075" t="s">
        <v>1167</v>
      </c>
      <c r="M297" s="821"/>
      <c r="N297" s="801"/>
      <c r="O297" s="822"/>
      <c r="P297" s="822"/>
      <c r="Q297" s="822"/>
      <c r="R297" s="822"/>
      <c r="S297" s="822"/>
      <c r="T297" s="822"/>
      <c r="U297" s="822"/>
      <c r="V297" s="822"/>
      <c r="W297" s="822"/>
      <c r="X297" s="822"/>
      <c r="Y297" s="823"/>
      <c r="Z297" s="823"/>
      <c r="AA297" s="823"/>
    </row>
    <row r="298" spans="1:27" ht="15.75" thickBot="1" x14ac:dyDescent="0.3">
      <c r="A298" s="1035">
        <v>289</v>
      </c>
      <c r="B298" s="1035" t="s">
        <v>50</v>
      </c>
      <c r="C298" s="1035" t="s">
        <v>130</v>
      </c>
      <c r="D298" s="1117" t="s">
        <v>351</v>
      </c>
      <c r="E298" s="1118" t="s">
        <v>352</v>
      </c>
      <c r="F298" s="1118" t="s">
        <v>353</v>
      </c>
      <c r="G298" s="1118" t="s">
        <v>354</v>
      </c>
      <c r="H298" s="1118" t="s">
        <v>355</v>
      </c>
      <c r="I298" s="1029"/>
      <c r="K298" s="783"/>
      <c r="L298" s="820" t="str">
        <f>'Manuell filtrering og justering'!H2</f>
        <v>No</v>
      </c>
      <c r="M298" s="821"/>
      <c r="N298" s="801"/>
      <c r="O298" s="822"/>
      <c r="P298" s="822"/>
      <c r="Q298" s="822"/>
      <c r="R298" s="822"/>
      <c r="S298" s="822"/>
      <c r="T298" s="822"/>
      <c r="U298" s="822"/>
      <c r="V298" s="822"/>
      <c r="W298" s="822"/>
      <c r="X298" s="822"/>
      <c r="Y298" s="823"/>
      <c r="Z298" s="823"/>
      <c r="AA298" s="823"/>
    </row>
    <row r="299" spans="1:27" x14ac:dyDescent="0.25">
      <c r="A299" s="1035">
        <v>290</v>
      </c>
      <c r="B299" s="1035" t="s">
        <v>50</v>
      </c>
      <c r="C299" s="1035" t="s">
        <v>130</v>
      </c>
      <c r="D299" s="506" t="s">
        <v>1247</v>
      </c>
      <c r="E299" s="1093" t="s">
        <v>360</v>
      </c>
      <c r="F299" s="1120">
        <f>IF(AD_SiteAccess=AD_no,0,1)</f>
        <v>1</v>
      </c>
      <c r="G299" s="1120">
        <f>IF(E299=AIS_Yes,F299,0)</f>
        <v>0</v>
      </c>
      <c r="H299" s="1317" t="s">
        <v>16</v>
      </c>
      <c r="I299" s="1029"/>
      <c r="K299" s="783"/>
      <c r="L299" s="820"/>
      <c r="M299" s="821"/>
      <c r="N299" s="801"/>
      <c r="O299" s="102" t="s">
        <v>1273</v>
      </c>
      <c r="P299" s="822"/>
      <c r="Q299" s="822"/>
      <c r="R299" s="822"/>
      <c r="S299" s="822"/>
      <c r="T299" s="822"/>
      <c r="U299" s="822" t="str">
        <f>$T$4</f>
        <v>No</v>
      </c>
      <c r="V299" s="822"/>
      <c r="W299" s="822"/>
      <c r="X299" s="822"/>
      <c r="Y299" s="823"/>
      <c r="Z299" s="823"/>
      <c r="AA299" s="823"/>
    </row>
    <row r="300" spans="1:27" x14ac:dyDescent="0.25">
      <c r="A300" s="1035">
        <v>291</v>
      </c>
      <c r="B300" s="1035" t="s">
        <v>50</v>
      </c>
      <c r="C300" s="1035" t="s">
        <v>130</v>
      </c>
      <c r="D300" s="1223" t="s">
        <v>1246</v>
      </c>
      <c r="E300" s="1100" t="s">
        <v>360</v>
      </c>
      <c r="F300" s="1161">
        <f>IF(E295=0,0,1)</f>
        <v>1</v>
      </c>
      <c r="G300" s="1122">
        <f>IF(E300=AIS_Yes,F300,0)</f>
        <v>0</v>
      </c>
      <c r="H300" s="1318" t="s">
        <v>16</v>
      </c>
      <c r="I300" s="1029"/>
      <c r="K300" s="783"/>
      <c r="L300" s="820"/>
      <c r="M300" s="821"/>
      <c r="N300" s="801"/>
      <c r="O300" s="102" t="s">
        <v>1273</v>
      </c>
      <c r="P300" s="822"/>
      <c r="Q300" s="822"/>
      <c r="R300" s="822"/>
      <c r="S300" s="822"/>
      <c r="T300" s="822"/>
      <c r="U300" s="822" t="str">
        <f>$T$4</f>
        <v>No</v>
      </c>
      <c r="V300" s="822"/>
      <c r="W300" s="822"/>
      <c r="X300" s="822"/>
      <c r="Y300" s="823"/>
      <c r="Z300" s="823"/>
      <c r="AA300" s="823"/>
    </row>
    <row r="301" spans="1:27" ht="15.75" thickBot="1" x14ac:dyDescent="0.3">
      <c r="A301" s="1035">
        <v>292</v>
      </c>
      <c r="B301" s="1035" t="s">
        <v>50</v>
      </c>
      <c r="C301" s="1035" t="s">
        <v>130</v>
      </c>
      <c r="D301" s="1123" t="s">
        <v>806</v>
      </c>
      <c r="E301" s="1099" t="s">
        <v>360</v>
      </c>
      <c r="F301" s="1140">
        <f>IF(L298=AIS_Yes,(IF(E295=3,1,0)),IF(E295=0,0,IF(L273=L274,1,0)))</f>
        <v>0</v>
      </c>
      <c r="G301" s="1140">
        <f>IF(AND(E301=AIS_Yes,E300=AIS_Yes),F301,0)</f>
        <v>0</v>
      </c>
      <c r="H301" s="1125" t="s">
        <v>16</v>
      </c>
      <c r="I301" s="1029"/>
      <c r="K301" s="783"/>
      <c r="L301" s="820"/>
      <c r="M301" s="821"/>
      <c r="N301" s="801"/>
      <c r="O301" s="822"/>
      <c r="P301" s="822"/>
      <c r="Q301" s="822"/>
      <c r="R301" s="822"/>
      <c r="S301" s="822"/>
      <c r="T301" s="822"/>
      <c r="U301" s="822"/>
      <c r="V301" s="822"/>
      <c r="W301" s="822"/>
      <c r="X301" s="822"/>
      <c r="Y301" s="823"/>
      <c r="Z301" s="823"/>
      <c r="AA301" s="823"/>
    </row>
    <row r="302" spans="1:27" x14ac:dyDescent="0.25">
      <c r="A302" s="1035">
        <v>293</v>
      </c>
      <c r="B302" s="1035" t="s">
        <v>50</v>
      </c>
      <c r="C302" s="1035" t="s">
        <v>130</v>
      </c>
      <c r="I302" s="1029"/>
      <c r="K302" s="783"/>
      <c r="L302" s="820"/>
      <c r="M302" s="821"/>
      <c r="N302" s="801"/>
      <c r="O302" s="822"/>
      <c r="P302" s="822"/>
      <c r="Q302" s="822"/>
      <c r="R302" s="822"/>
      <c r="S302" s="822"/>
      <c r="T302" s="822"/>
      <c r="U302" s="822"/>
      <c r="V302" s="822"/>
      <c r="W302" s="822"/>
      <c r="X302" s="822"/>
      <c r="Y302" s="823"/>
      <c r="Z302" s="823"/>
      <c r="AA302" s="823"/>
    </row>
    <row r="303" spans="1:27" x14ac:dyDescent="0.25">
      <c r="A303" s="1035">
        <v>294</v>
      </c>
      <c r="B303" s="1035" t="s">
        <v>50</v>
      </c>
      <c r="C303" s="1035" t="s">
        <v>130</v>
      </c>
      <c r="D303" s="1127" t="s">
        <v>356</v>
      </c>
      <c r="E303" s="1128">
        <f>IF((G299+G300+G301)&gt;E295,E295,G299+G300+G301)</f>
        <v>0</v>
      </c>
      <c r="I303" s="1029"/>
      <c r="K303" s="783"/>
      <c r="L303" s="820"/>
      <c r="M303" s="821"/>
      <c r="N303" s="801"/>
      <c r="O303" s="822"/>
      <c r="P303" s="822"/>
      <c r="Q303" s="822"/>
      <c r="R303" s="822"/>
      <c r="S303" s="822"/>
      <c r="T303" s="822"/>
      <c r="U303" s="822"/>
      <c r="V303" s="822"/>
      <c r="W303" s="822"/>
      <c r="X303" s="822"/>
      <c r="Y303" s="823"/>
      <c r="Z303" s="823"/>
      <c r="AA303" s="823"/>
    </row>
    <row r="304" spans="1:27" x14ac:dyDescent="0.25">
      <c r="A304" s="1035">
        <v>295</v>
      </c>
      <c r="B304" s="1035" t="s">
        <v>50</v>
      </c>
      <c r="C304" s="1035" t="s">
        <v>130</v>
      </c>
      <c r="D304" s="1129" t="s">
        <v>86</v>
      </c>
      <c r="E304" s="1130">
        <f>Hea06_contr</f>
        <v>0</v>
      </c>
      <c r="I304" s="1029"/>
      <c r="K304" s="783"/>
      <c r="L304" s="820"/>
      <c r="M304" s="821"/>
      <c r="N304" s="801"/>
      <c r="O304" s="822"/>
      <c r="P304" s="822"/>
      <c r="Q304" s="822"/>
      <c r="R304" s="822"/>
      <c r="S304" s="822"/>
      <c r="T304" s="822"/>
      <c r="U304" s="822"/>
      <c r="V304" s="822"/>
      <c r="W304" s="822"/>
      <c r="X304" s="822"/>
      <c r="Y304" s="823"/>
      <c r="Z304" s="823"/>
      <c r="AA304" s="823"/>
    </row>
    <row r="305" spans="1:27" x14ac:dyDescent="0.25">
      <c r="A305" s="1035">
        <v>296</v>
      </c>
      <c r="B305" s="1035" t="s">
        <v>50</v>
      </c>
      <c r="C305" s="1035" t="s">
        <v>130</v>
      </c>
      <c r="D305" s="1131" t="s">
        <v>357</v>
      </c>
      <c r="E305" s="1128" t="s">
        <v>16</v>
      </c>
      <c r="I305" s="1029"/>
      <c r="K305" s="783"/>
      <c r="L305" s="820"/>
      <c r="M305" s="821"/>
      <c r="N305" s="801"/>
      <c r="O305" s="822"/>
      <c r="P305" s="822"/>
      <c r="Q305" s="822"/>
      <c r="R305" s="822"/>
      <c r="S305" s="822"/>
      <c r="T305" s="822"/>
      <c r="U305" s="822"/>
      <c r="V305" s="822"/>
      <c r="W305" s="822"/>
      <c r="X305" s="822"/>
      <c r="Y305" s="823"/>
      <c r="Z305" s="823"/>
      <c r="AA305" s="823"/>
    </row>
    <row r="306" spans="1:27" x14ac:dyDescent="0.25">
      <c r="A306" s="1035">
        <v>297</v>
      </c>
      <c r="B306" s="1035" t="s">
        <v>50</v>
      </c>
      <c r="C306" s="1035" t="s">
        <v>130</v>
      </c>
      <c r="D306" s="1132" t="s">
        <v>55</v>
      </c>
      <c r="E306" s="1133" t="s">
        <v>16</v>
      </c>
      <c r="F306" s="1134"/>
      <c r="G306" s="1135"/>
      <c r="I306" s="1029"/>
      <c r="K306" s="783"/>
      <c r="L306" s="820"/>
      <c r="M306" s="821"/>
      <c r="N306" s="801"/>
      <c r="O306" s="822"/>
      <c r="P306" s="822"/>
      <c r="Q306" s="822"/>
      <c r="R306" s="822"/>
      <c r="S306" s="822"/>
      <c r="T306" s="822"/>
      <c r="U306" s="822"/>
      <c r="V306" s="822"/>
      <c r="W306" s="822"/>
      <c r="X306" s="822"/>
      <c r="Y306" s="823"/>
      <c r="Z306" s="823"/>
      <c r="AA306" s="823"/>
    </row>
    <row r="307" spans="1:27" x14ac:dyDescent="0.25">
      <c r="A307" s="1035">
        <v>298</v>
      </c>
      <c r="B307" s="1035" t="s">
        <v>50</v>
      </c>
      <c r="C307" s="1035" t="s">
        <v>130</v>
      </c>
      <c r="I307" s="1029"/>
      <c r="K307" s="783"/>
      <c r="L307" s="820"/>
      <c r="M307" s="821"/>
      <c r="N307" s="801"/>
      <c r="O307" s="822"/>
      <c r="P307" s="822"/>
      <c r="Q307" s="822"/>
      <c r="R307" s="822"/>
      <c r="S307" s="822"/>
      <c r="T307" s="822"/>
      <c r="U307" s="822"/>
      <c r="V307" s="822"/>
      <c r="W307" s="822"/>
      <c r="X307" s="822"/>
      <c r="Y307" s="823"/>
      <c r="Z307" s="823"/>
      <c r="AA307" s="823"/>
    </row>
    <row r="308" spans="1:27" x14ac:dyDescent="0.25">
      <c r="A308" s="1035">
        <v>299</v>
      </c>
      <c r="B308" s="1035" t="s">
        <v>50</v>
      </c>
      <c r="C308" s="1035" t="s">
        <v>130</v>
      </c>
      <c r="D308" s="1136" t="s">
        <v>359</v>
      </c>
      <c r="E308" s="1136" t="s">
        <v>977</v>
      </c>
      <c r="F308" s="1136" t="str">
        <f>HLOOKUP(C308,'Assessment References'!$H$512:$BG$513,2,FALSE)</f>
        <v/>
      </c>
      <c r="G308" s="1137"/>
      <c r="H308" s="1138"/>
      <c r="I308" s="1029"/>
      <c r="K308" s="783"/>
      <c r="L308" s="820"/>
      <c r="M308" s="821"/>
      <c r="N308" s="801"/>
      <c r="O308" s="822"/>
      <c r="P308" s="822"/>
      <c r="Q308" s="822"/>
      <c r="R308" s="822"/>
      <c r="S308" s="822"/>
      <c r="T308" s="822"/>
      <c r="U308" s="822"/>
      <c r="V308" s="822"/>
      <c r="W308" s="822"/>
      <c r="X308" s="822"/>
      <c r="Y308" s="823"/>
      <c r="Z308" s="823"/>
      <c r="AA308" s="823"/>
    </row>
    <row r="309" spans="1:27" x14ac:dyDescent="0.25">
      <c r="A309" s="1035">
        <v>300</v>
      </c>
      <c r="B309" s="1035" t="s">
        <v>50</v>
      </c>
      <c r="C309" s="1035" t="s">
        <v>130</v>
      </c>
      <c r="D309" s="1363"/>
      <c r="E309" s="1352"/>
      <c r="F309" s="1352"/>
      <c r="G309" s="1352"/>
      <c r="H309" s="1353"/>
      <c r="I309" s="1029"/>
      <c r="K309" s="783"/>
      <c r="L309" s="820"/>
      <c r="M309" s="821"/>
      <c r="N309" s="801"/>
      <c r="O309" s="822"/>
      <c r="P309" s="822"/>
      <c r="Q309" s="822"/>
      <c r="R309" s="822"/>
      <c r="S309" s="822"/>
      <c r="T309" s="822"/>
      <c r="U309" s="822"/>
      <c r="V309" s="822"/>
      <c r="W309" s="822"/>
      <c r="X309" s="822"/>
      <c r="Y309" s="823"/>
      <c r="Z309" s="823"/>
      <c r="AA309" s="823"/>
    </row>
    <row r="310" spans="1:27" x14ac:dyDescent="0.25">
      <c r="A310" s="1035">
        <v>301</v>
      </c>
      <c r="B310" s="1035" t="s">
        <v>50</v>
      </c>
      <c r="C310" s="1035" t="s">
        <v>130</v>
      </c>
      <c r="D310" s="1354"/>
      <c r="E310" s="1355"/>
      <c r="F310" s="1355"/>
      <c r="G310" s="1355"/>
      <c r="H310" s="1356"/>
      <c r="I310" s="1029"/>
      <c r="K310" s="783"/>
      <c r="L310" s="820"/>
      <c r="M310" s="821"/>
      <c r="N310" s="801"/>
      <c r="O310" s="822"/>
      <c r="P310" s="822"/>
      <c r="Q310" s="822"/>
      <c r="R310" s="822"/>
      <c r="S310" s="822"/>
      <c r="T310" s="822"/>
      <c r="U310" s="822"/>
      <c r="V310" s="822"/>
      <c r="W310" s="822"/>
      <c r="X310" s="822"/>
      <c r="Y310" s="823"/>
      <c r="Z310" s="823"/>
      <c r="AA310" s="823"/>
    </row>
    <row r="311" spans="1:27" x14ac:dyDescent="0.25">
      <c r="A311" s="1035">
        <v>302</v>
      </c>
      <c r="B311" s="1035" t="s">
        <v>50</v>
      </c>
      <c r="C311" s="1035" t="s">
        <v>130</v>
      </c>
      <c r="D311" s="1354"/>
      <c r="E311" s="1355"/>
      <c r="F311" s="1355"/>
      <c r="G311" s="1355"/>
      <c r="H311" s="1356"/>
      <c r="I311" s="1029"/>
      <c r="K311" s="783"/>
      <c r="L311" s="820"/>
      <c r="M311" s="821"/>
      <c r="N311" s="801"/>
      <c r="O311" s="822"/>
      <c r="P311" s="822"/>
      <c r="Q311" s="822"/>
      <c r="R311" s="822"/>
      <c r="S311" s="822"/>
      <c r="T311" s="822"/>
      <c r="U311" s="822"/>
      <c r="V311" s="822"/>
      <c r="W311" s="822"/>
      <c r="X311" s="822"/>
      <c r="Y311" s="823"/>
      <c r="Z311" s="823"/>
      <c r="AA311" s="823"/>
    </row>
    <row r="312" spans="1:27" x14ac:dyDescent="0.25">
      <c r="A312" s="1035">
        <v>303</v>
      </c>
      <c r="B312" s="1035" t="s">
        <v>50</v>
      </c>
      <c r="C312" s="1035" t="s">
        <v>130</v>
      </c>
      <c r="D312" s="1364"/>
      <c r="E312" s="1358"/>
      <c r="F312" s="1358"/>
      <c r="G312" s="1358"/>
      <c r="H312" s="1359"/>
      <c r="I312" s="1029"/>
      <c r="K312" s="783"/>
      <c r="L312" s="820"/>
      <c r="M312" s="821"/>
      <c r="N312" s="801"/>
      <c r="O312" s="822"/>
      <c r="P312" s="822"/>
      <c r="Q312" s="822"/>
      <c r="R312" s="822"/>
      <c r="S312" s="822"/>
      <c r="T312" s="822"/>
      <c r="U312" s="822"/>
      <c r="V312" s="822"/>
      <c r="W312" s="822"/>
      <c r="X312" s="822"/>
      <c r="Y312" s="823"/>
      <c r="Z312" s="823"/>
      <c r="AA312" s="823"/>
    </row>
    <row r="313" spans="1:27" x14ac:dyDescent="0.25">
      <c r="A313" s="1035">
        <v>304</v>
      </c>
      <c r="B313" s="1035" t="s">
        <v>50</v>
      </c>
      <c r="C313" s="1035" t="s">
        <v>130</v>
      </c>
      <c r="D313" s="1364"/>
      <c r="E313" s="1358"/>
      <c r="F313" s="1358"/>
      <c r="G313" s="1358"/>
      <c r="H313" s="1359"/>
      <c r="I313" s="1029"/>
      <c r="K313" s="783"/>
      <c r="L313" s="820"/>
      <c r="M313" s="821"/>
      <c r="N313" s="801"/>
      <c r="O313" s="822"/>
      <c r="P313" s="822"/>
      <c r="Q313" s="822"/>
      <c r="R313" s="822"/>
      <c r="S313" s="822"/>
      <c r="T313" s="822"/>
      <c r="U313" s="822"/>
      <c r="V313" s="822"/>
      <c r="W313" s="822"/>
      <c r="X313" s="822"/>
      <c r="Y313" s="823"/>
      <c r="Z313" s="823"/>
      <c r="AA313" s="823"/>
    </row>
    <row r="314" spans="1:27" x14ac:dyDescent="0.25">
      <c r="A314" s="1035">
        <v>305</v>
      </c>
      <c r="B314" s="1035" t="s">
        <v>50</v>
      </c>
      <c r="C314" s="1035" t="s">
        <v>130</v>
      </c>
      <c r="D314" s="1360"/>
      <c r="E314" s="1361"/>
      <c r="F314" s="1361"/>
      <c r="G314" s="1361"/>
      <c r="H314" s="1362"/>
      <c r="I314" s="1029"/>
      <c r="K314" s="783"/>
      <c r="L314" s="820"/>
      <c r="M314" s="821"/>
      <c r="N314" s="801"/>
      <c r="O314" s="822"/>
      <c r="P314" s="822"/>
      <c r="Q314" s="822"/>
      <c r="R314" s="822"/>
      <c r="S314" s="822"/>
      <c r="T314" s="822"/>
      <c r="U314" s="822"/>
      <c r="V314" s="822"/>
      <c r="W314" s="822"/>
      <c r="X314" s="822"/>
      <c r="Y314" s="823"/>
      <c r="Z314" s="823"/>
      <c r="AA314" s="823"/>
    </row>
    <row r="315" spans="1:27" ht="15.75" thickBot="1" x14ac:dyDescent="0.3">
      <c r="A315" s="1035">
        <v>306</v>
      </c>
      <c r="B315" s="1035" t="s">
        <v>50</v>
      </c>
      <c r="C315" s="1035" t="s">
        <v>130</v>
      </c>
      <c r="I315" s="1029"/>
      <c r="K315" s="783"/>
      <c r="L315" s="820"/>
      <c r="M315" s="821"/>
      <c r="N315" s="801"/>
      <c r="O315" s="822"/>
      <c r="P315" s="822"/>
      <c r="Q315" s="822"/>
      <c r="R315" s="822"/>
      <c r="S315" s="822"/>
      <c r="T315" s="822"/>
      <c r="U315" s="822"/>
      <c r="V315" s="822"/>
      <c r="W315" s="822"/>
      <c r="X315" s="822"/>
      <c r="Y315" s="823"/>
      <c r="Z315" s="823"/>
      <c r="AA315" s="823"/>
    </row>
    <row r="316" spans="1:27" x14ac:dyDescent="0.25">
      <c r="A316" s="1037">
        <v>307</v>
      </c>
      <c r="B316" s="1037" t="s">
        <v>50</v>
      </c>
      <c r="C316" s="827" t="s">
        <v>131</v>
      </c>
      <c r="D316" s="1157" t="s">
        <v>890</v>
      </c>
      <c r="E316" s="1158"/>
      <c r="F316" s="1158"/>
      <c r="G316" s="1159"/>
      <c r="H316" s="1167" t="str">
        <f>IF(Hea07_Credits=AIS_credit00,AIS_statement32,"")</f>
        <v/>
      </c>
      <c r="I316" s="1029"/>
      <c r="K316" s="783"/>
      <c r="L316" s="809" t="str">
        <f>C316</f>
        <v>Hea 07</v>
      </c>
      <c r="M316" s="821"/>
      <c r="N316" s="801"/>
      <c r="O316" s="822"/>
      <c r="P316" s="822"/>
      <c r="Q316" s="822"/>
      <c r="R316" s="822"/>
      <c r="S316" s="822"/>
      <c r="T316" s="822"/>
      <c r="U316" s="822"/>
      <c r="V316" s="822"/>
      <c r="W316" s="822"/>
      <c r="X316" s="822"/>
      <c r="Y316" s="823"/>
      <c r="Z316" s="823"/>
      <c r="AA316" s="823"/>
    </row>
    <row r="317" spans="1:27" x14ac:dyDescent="0.25">
      <c r="A317" s="1035">
        <v>308</v>
      </c>
      <c r="B317" s="1035" t="s">
        <v>50</v>
      </c>
      <c r="C317" s="1035" t="s">
        <v>131</v>
      </c>
      <c r="D317" s="1107" t="s">
        <v>17</v>
      </c>
      <c r="E317" s="1108">
        <f>Hea07_Credits</f>
        <v>1</v>
      </c>
      <c r="F317" s="1109"/>
      <c r="G317" s="1110" t="s">
        <v>85</v>
      </c>
      <c r="H317" s="1111">
        <f>Hea07_07</f>
        <v>7.4999999999999997E-3</v>
      </c>
      <c r="I317" s="1029"/>
      <c r="K317" s="783"/>
      <c r="L317" s="820"/>
      <c r="M317" s="821"/>
      <c r="N317" s="801"/>
      <c r="O317" s="822"/>
      <c r="P317" s="822"/>
      <c r="Q317" s="822"/>
      <c r="R317" s="822"/>
      <c r="S317" s="822"/>
      <c r="T317" s="822"/>
      <c r="U317" s="822"/>
      <c r="V317" s="822"/>
      <c r="W317" s="822"/>
      <c r="X317" s="822"/>
      <c r="Y317" s="823"/>
      <c r="Z317" s="823"/>
      <c r="AA317" s="823"/>
    </row>
    <row r="318" spans="1:27" x14ac:dyDescent="0.25">
      <c r="A318" s="1035">
        <v>309</v>
      </c>
      <c r="B318" s="1035" t="s">
        <v>50</v>
      </c>
      <c r="C318" s="1035" t="s">
        <v>131</v>
      </c>
      <c r="D318" s="1112" t="s">
        <v>349</v>
      </c>
      <c r="E318" s="1113">
        <v>0</v>
      </c>
      <c r="F318" s="1114"/>
      <c r="G318" s="1115" t="s">
        <v>350</v>
      </c>
      <c r="H318" s="1116" t="s">
        <v>15</v>
      </c>
      <c r="I318" s="1029"/>
      <c r="K318" s="783"/>
      <c r="L318" s="820"/>
      <c r="M318" s="821"/>
      <c r="N318" s="801"/>
      <c r="O318" s="822"/>
      <c r="P318" s="822"/>
      <c r="Q318" s="822"/>
      <c r="R318" s="822"/>
      <c r="S318" s="822"/>
      <c r="T318" s="822"/>
      <c r="U318" s="822"/>
      <c r="V318" s="822"/>
      <c r="W318" s="822"/>
      <c r="X318" s="822"/>
      <c r="Y318" s="823"/>
      <c r="Z318" s="823"/>
      <c r="AA318" s="823"/>
    </row>
    <row r="319" spans="1:27" x14ac:dyDescent="0.25">
      <c r="A319" s="1035">
        <v>310</v>
      </c>
      <c r="B319" s="1035" t="s">
        <v>50</v>
      </c>
      <c r="C319" s="1035" t="s">
        <v>131</v>
      </c>
      <c r="I319" s="1029"/>
      <c r="K319" s="783"/>
      <c r="L319" s="820"/>
      <c r="M319" s="821"/>
      <c r="N319" s="801"/>
      <c r="O319" s="822"/>
      <c r="P319" s="822"/>
      <c r="Q319" s="822"/>
      <c r="R319" s="822"/>
      <c r="S319" s="822"/>
      <c r="T319" s="822"/>
      <c r="U319" s="822"/>
      <c r="V319" s="822"/>
      <c r="W319" s="822"/>
      <c r="X319" s="822"/>
      <c r="Y319" s="823"/>
      <c r="Z319" s="823"/>
      <c r="AA319" s="823"/>
    </row>
    <row r="320" spans="1:27" ht="15.75" thickBot="1" x14ac:dyDescent="0.3">
      <c r="A320" s="1035">
        <v>311</v>
      </c>
      <c r="B320" s="1035" t="s">
        <v>50</v>
      </c>
      <c r="C320" s="1035" t="s">
        <v>131</v>
      </c>
      <c r="D320" s="1117" t="s">
        <v>351</v>
      </c>
      <c r="E320" s="1118" t="s">
        <v>352</v>
      </c>
      <c r="F320" s="1118" t="s">
        <v>353</v>
      </c>
      <c r="G320" s="1118" t="s">
        <v>354</v>
      </c>
      <c r="H320" s="1118" t="s">
        <v>355</v>
      </c>
      <c r="I320" s="1029"/>
      <c r="K320" s="783"/>
      <c r="L320" s="820"/>
      <c r="M320" s="821"/>
      <c r="N320" s="801"/>
      <c r="O320" s="822"/>
      <c r="P320" s="822"/>
      <c r="Q320" s="822"/>
      <c r="R320" s="822"/>
      <c r="S320" s="822"/>
      <c r="T320" s="822"/>
      <c r="U320" s="822"/>
      <c r="V320" s="822"/>
      <c r="W320" s="822"/>
      <c r="X320" s="822"/>
      <c r="Y320" s="823"/>
      <c r="Z320" s="823"/>
      <c r="AA320" s="823"/>
    </row>
    <row r="321" spans="1:27" ht="15.75" thickBot="1" x14ac:dyDescent="0.3">
      <c r="A321" s="1035">
        <v>312</v>
      </c>
      <c r="B321" s="1035" t="s">
        <v>50</v>
      </c>
      <c r="C321" s="1035" t="s">
        <v>131</v>
      </c>
      <c r="D321" s="1142" t="s">
        <v>391</v>
      </c>
      <c r="E321" s="1098" t="s">
        <v>360</v>
      </c>
      <c r="F321" s="1143">
        <f>E317</f>
        <v>1</v>
      </c>
      <c r="G321" s="1143">
        <f>IF(E321=AIS_Yes,F321,0)</f>
        <v>0</v>
      </c>
      <c r="H321" s="1327" t="s">
        <v>16</v>
      </c>
      <c r="I321" s="1029"/>
      <c r="K321" s="783"/>
      <c r="L321" s="820"/>
      <c r="M321" s="821"/>
      <c r="N321" s="801"/>
      <c r="O321" s="102" t="s">
        <v>1273</v>
      </c>
      <c r="P321" s="822"/>
      <c r="Q321" s="822"/>
      <c r="R321" s="822"/>
      <c r="S321" s="822"/>
      <c r="T321" s="822"/>
      <c r="U321" s="822" t="str">
        <f>$T$4</f>
        <v>No</v>
      </c>
      <c r="V321" s="822"/>
      <c r="W321" s="822"/>
      <c r="X321" s="822"/>
      <c r="Y321" s="823"/>
      <c r="Z321" s="823"/>
      <c r="AA321" s="823"/>
    </row>
    <row r="322" spans="1:27" x14ac:dyDescent="0.25">
      <c r="A322" s="1035">
        <v>313</v>
      </c>
      <c r="B322" s="1035" t="s">
        <v>50</v>
      </c>
      <c r="C322" s="1035" t="s">
        <v>131</v>
      </c>
      <c r="E322" s="1144"/>
      <c r="I322" s="1029"/>
      <c r="K322" s="783"/>
      <c r="L322" s="820"/>
      <c r="M322" s="821"/>
      <c r="N322" s="801"/>
      <c r="O322" s="822"/>
      <c r="P322" s="822"/>
      <c r="Q322" s="822"/>
      <c r="R322" s="822"/>
      <c r="S322" s="822"/>
      <c r="T322" s="822"/>
      <c r="U322" s="822"/>
      <c r="V322" s="822"/>
      <c r="W322" s="822"/>
      <c r="X322" s="822"/>
      <c r="Y322" s="823"/>
      <c r="Z322" s="823"/>
      <c r="AA322" s="823"/>
    </row>
    <row r="323" spans="1:27" x14ac:dyDescent="0.25">
      <c r="A323" s="1035">
        <v>314</v>
      </c>
      <c r="B323" s="1035" t="s">
        <v>50</v>
      </c>
      <c r="C323" s="1035" t="s">
        <v>131</v>
      </c>
      <c r="D323" s="1127" t="s">
        <v>356</v>
      </c>
      <c r="E323" s="1128">
        <f>G321</f>
        <v>0</v>
      </c>
      <c r="I323" s="1029"/>
      <c r="K323" s="783"/>
      <c r="L323" s="820"/>
      <c r="M323" s="821"/>
      <c r="N323" s="801"/>
      <c r="O323" s="822"/>
      <c r="P323" s="822"/>
      <c r="Q323" s="822"/>
      <c r="R323" s="822"/>
      <c r="S323" s="822"/>
      <c r="T323" s="822"/>
      <c r="U323" s="822"/>
      <c r="V323" s="822"/>
      <c r="W323" s="822"/>
      <c r="X323" s="822"/>
      <c r="Y323" s="823"/>
      <c r="Z323" s="823"/>
      <c r="AA323" s="823"/>
    </row>
    <row r="324" spans="1:27" x14ac:dyDescent="0.25">
      <c r="A324" s="1035">
        <v>315</v>
      </c>
      <c r="B324" s="1035" t="s">
        <v>50</v>
      </c>
      <c r="C324" s="1035" t="s">
        <v>131</v>
      </c>
      <c r="D324" s="1129" t="s">
        <v>86</v>
      </c>
      <c r="E324" s="1130">
        <f>Hea07_contr</f>
        <v>0</v>
      </c>
      <c r="I324" s="1029"/>
      <c r="K324" s="783"/>
      <c r="L324" s="820"/>
      <c r="M324" s="821"/>
      <c r="N324" s="801"/>
      <c r="O324" s="822"/>
      <c r="P324" s="822"/>
      <c r="Q324" s="822"/>
      <c r="R324" s="822"/>
      <c r="S324" s="822"/>
      <c r="T324" s="822"/>
      <c r="U324" s="822"/>
      <c r="V324" s="822"/>
      <c r="W324" s="822"/>
      <c r="X324" s="822"/>
      <c r="Y324" s="823"/>
      <c r="Z324" s="823"/>
      <c r="AA324" s="823"/>
    </row>
    <row r="325" spans="1:27" x14ac:dyDescent="0.25">
      <c r="A325" s="1035">
        <v>316</v>
      </c>
      <c r="B325" s="1035" t="s">
        <v>50</v>
      </c>
      <c r="C325" s="1035" t="s">
        <v>131</v>
      </c>
      <c r="D325" s="1131" t="s">
        <v>357</v>
      </c>
      <c r="E325" s="1128" t="s">
        <v>16</v>
      </c>
      <c r="I325" s="1029"/>
      <c r="K325" s="783"/>
      <c r="L325" s="820"/>
      <c r="M325" s="821"/>
      <c r="N325" s="801"/>
      <c r="O325" s="822"/>
      <c r="P325" s="822"/>
      <c r="Q325" s="822"/>
      <c r="R325" s="822"/>
      <c r="S325" s="822"/>
      <c r="T325" s="822"/>
      <c r="U325" s="822"/>
      <c r="V325" s="822"/>
      <c r="W325" s="822"/>
      <c r="X325" s="822"/>
      <c r="Y325" s="823"/>
      <c r="Z325" s="823"/>
      <c r="AA325" s="823"/>
    </row>
    <row r="326" spans="1:27" x14ac:dyDescent="0.25">
      <c r="A326" s="1035">
        <v>317</v>
      </c>
      <c r="B326" s="1035" t="s">
        <v>50</v>
      </c>
      <c r="C326" s="1035" t="s">
        <v>131</v>
      </c>
      <c r="D326" s="1132" t="s">
        <v>55</v>
      </c>
      <c r="E326" s="1133" t="s">
        <v>16</v>
      </c>
      <c r="F326" s="1134"/>
      <c r="G326" s="1135"/>
      <c r="I326" s="1029"/>
      <c r="K326" s="783"/>
      <c r="L326" s="820"/>
      <c r="M326" s="821"/>
      <c r="N326" s="801"/>
      <c r="O326" s="822"/>
      <c r="P326" s="822"/>
      <c r="Q326" s="822"/>
      <c r="R326" s="822"/>
      <c r="S326" s="822"/>
      <c r="T326" s="822"/>
      <c r="U326" s="822"/>
      <c r="V326" s="822"/>
      <c r="W326" s="822"/>
      <c r="X326" s="822"/>
      <c r="Y326" s="823"/>
      <c r="Z326" s="823"/>
      <c r="AA326" s="823"/>
    </row>
    <row r="327" spans="1:27" x14ac:dyDescent="0.25">
      <c r="A327" s="1035">
        <v>318</v>
      </c>
      <c r="B327" s="1035" t="s">
        <v>50</v>
      </c>
      <c r="C327" s="1035" t="s">
        <v>131</v>
      </c>
      <c r="I327" s="1029"/>
      <c r="K327" s="783"/>
      <c r="L327" s="820"/>
      <c r="M327" s="821"/>
      <c r="N327" s="801"/>
      <c r="O327" s="822"/>
      <c r="P327" s="822"/>
      <c r="Q327" s="822"/>
      <c r="R327" s="822"/>
      <c r="S327" s="822"/>
      <c r="T327" s="822"/>
      <c r="U327" s="822"/>
      <c r="V327" s="822"/>
      <c r="W327" s="822"/>
      <c r="X327" s="822"/>
      <c r="Y327" s="823"/>
      <c r="Z327" s="823"/>
      <c r="AA327" s="823"/>
    </row>
    <row r="328" spans="1:27" x14ac:dyDescent="0.25">
      <c r="A328" s="1035">
        <v>319</v>
      </c>
      <c r="B328" s="1035" t="s">
        <v>50</v>
      </c>
      <c r="C328" s="1035" t="s">
        <v>131</v>
      </c>
      <c r="D328" s="1136" t="s">
        <v>359</v>
      </c>
      <c r="E328" s="1136" t="s">
        <v>977</v>
      </c>
      <c r="F328" s="1136" t="str">
        <f>HLOOKUP(C328,'Assessment References'!$H$512:$BG$513,2,FALSE)</f>
        <v/>
      </c>
      <c r="G328" s="1137"/>
      <c r="H328" s="1138"/>
      <c r="I328" s="1029"/>
      <c r="K328" s="783"/>
      <c r="L328" s="820"/>
      <c r="M328" s="821"/>
      <c r="N328" s="801"/>
      <c r="O328" s="822"/>
      <c r="P328" s="822"/>
      <c r="Q328" s="822"/>
      <c r="R328" s="822"/>
      <c r="S328" s="822"/>
      <c r="T328" s="822"/>
      <c r="U328" s="822"/>
      <c r="V328" s="822"/>
      <c r="W328" s="822"/>
      <c r="X328" s="822"/>
      <c r="Y328" s="823"/>
      <c r="Z328" s="823"/>
      <c r="AA328" s="823"/>
    </row>
    <row r="329" spans="1:27" x14ac:dyDescent="0.25">
      <c r="A329" s="1035">
        <v>320</v>
      </c>
      <c r="B329" s="1035" t="s">
        <v>50</v>
      </c>
      <c r="C329" s="1035" t="s">
        <v>131</v>
      </c>
      <c r="D329" s="1363"/>
      <c r="E329" s="1352"/>
      <c r="F329" s="1352"/>
      <c r="G329" s="1352"/>
      <c r="H329" s="1353"/>
      <c r="I329" s="1029"/>
      <c r="K329" s="783"/>
      <c r="L329" s="820"/>
      <c r="M329" s="821"/>
      <c r="N329" s="801"/>
      <c r="O329" s="822"/>
      <c r="P329" s="822"/>
      <c r="Q329" s="822"/>
      <c r="R329" s="822"/>
      <c r="S329" s="822"/>
      <c r="T329" s="822"/>
      <c r="U329" s="822"/>
      <c r="V329" s="822"/>
      <c r="W329" s="822"/>
      <c r="X329" s="822"/>
      <c r="Y329" s="823"/>
      <c r="Z329" s="823"/>
      <c r="AA329" s="823"/>
    </row>
    <row r="330" spans="1:27" x14ac:dyDescent="0.25">
      <c r="A330" s="1035">
        <v>321</v>
      </c>
      <c r="B330" s="1035" t="s">
        <v>50</v>
      </c>
      <c r="C330" s="1035" t="s">
        <v>131</v>
      </c>
      <c r="D330" s="1354"/>
      <c r="E330" s="1355"/>
      <c r="F330" s="1355"/>
      <c r="G330" s="1355"/>
      <c r="H330" s="1356"/>
      <c r="I330" s="1029"/>
      <c r="K330" s="783"/>
      <c r="L330" s="820"/>
      <c r="M330" s="821"/>
      <c r="N330" s="801"/>
      <c r="O330" s="822"/>
      <c r="P330" s="822"/>
      <c r="Q330" s="822"/>
      <c r="R330" s="822"/>
      <c r="S330" s="822"/>
      <c r="T330" s="822"/>
      <c r="U330" s="822"/>
      <c r="V330" s="822"/>
      <c r="W330" s="822"/>
      <c r="X330" s="822"/>
      <c r="Y330" s="823"/>
      <c r="Z330" s="823"/>
      <c r="AA330" s="823"/>
    </row>
    <row r="331" spans="1:27" x14ac:dyDescent="0.25">
      <c r="A331" s="1035">
        <v>322</v>
      </c>
      <c r="B331" s="1035" t="s">
        <v>50</v>
      </c>
      <c r="C331" s="1035" t="s">
        <v>131</v>
      </c>
      <c r="D331" s="1354"/>
      <c r="E331" s="1355"/>
      <c r="F331" s="1355"/>
      <c r="G331" s="1355"/>
      <c r="H331" s="1356"/>
      <c r="I331" s="1029"/>
      <c r="K331" s="783"/>
      <c r="L331" s="820"/>
      <c r="M331" s="821"/>
      <c r="N331" s="801"/>
      <c r="O331" s="822"/>
      <c r="P331" s="822"/>
      <c r="Q331" s="822"/>
      <c r="R331" s="822"/>
      <c r="S331" s="822"/>
      <c r="T331" s="822"/>
      <c r="U331" s="822"/>
      <c r="V331" s="822"/>
      <c r="W331" s="822"/>
      <c r="X331" s="822"/>
      <c r="Y331" s="823"/>
      <c r="Z331" s="823"/>
      <c r="AA331" s="823"/>
    </row>
    <row r="332" spans="1:27" x14ac:dyDescent="0.25">
      <c r="A332" s="1035">
        <v>323</v>
      </c>
      <c r="B332" s="1035" t="s">
        <v>50</v>
      </c>
      <c r="C332" s="1035" t="s">
        <v>131</v>
      </c>
      <c r="D332" s="1364"/>
      <c r="E332" s="1358"/>
      <c r="F332" s="1358"/>
      <c r="G332" s="1358"/>
      <c r="H332" s="1359"/>
      <c r="I332" s="1029"/>
      <c r="K332" s="783"/>
      <c r="L332" s="820"/>
      <c r="M332" s="821"/>
      <c r="N332" s="801"/>
      <c r="O332" s="822"/>
      <c r="P332" s="822"/>
      <c r="Q332" s="822"/>
      <c r="R332" s="822"/>
      <c r="S332" s="822"/>
      <c r="T332" s="822"/>
      <c r="U332" s="822"/>
      <c r="V332" s="822"/>
      <c r="W332" s="822"/>
      <c r="X332" s="822"/>
      <c r="Y332" s="823"/>
      <c r="Z332" s="823"/>
      <c r="AA332" s="823"/>
    </row>
    <row r="333" spans="1:27" x14ac:dyDescent="0.25">
      <c r="A333" s="1035">
        <v>324</v>
      </c>
      <c r="B333" s="1035" t="s">
        <v>50</v>
      </c>
      <c r="C333" s="1035" t="s">
        <v>131</v>
      </c>
      <c r="D333" s="1364"/>
      <c r="E333" s="1358"/>
      <c r="F333" s="1358"/>
      <c r="G333" s="1358"/>
      <c r="H333" s="1359"/>
      <c r="I333" s="1029"/>
      <c r="K333" s="783"/>
      <c r="L333" s="820"/>
      <c r="M333" s="821"/>
      <c r="N333" s="801"/>
      <c r="O333" s="822"/>
      <c r="P333" s="822"/>
      <c r="Q333" s="822"/>
      <c r="R333" s="822"/>
      <c r="S333" s="822"/>
      <c r="T333" s="822"/>
      <c r="U333" s="822"/>
      <c r="V333" s="822"/>
      <c r="W333" s="822"/>
      <c r="X333" s="822"/>
      <c r="Y333" s="823"/>
      <c r="Z333" s="823"/>
      <c r="AA333" s="823"/>
    </row>
    <row r="334" spans="1:27" x14ac:dyDescent="0.25">
      <c r="A334" s="1035">
        <v>325</v>
      </c>
      <c r="B334" s="1035" t="s">
        <v>50</v>
      </c>
      <c r="C334" s="1035" t="s">
        <v>131</v>
      </c>
      <c r="D334" s="1360"/>
      <c r="E334" s="1361"/>
      <c r="F334" s="1361"/>
      <c r="G334" s="1361"/>
      <c r="H334" s="1362"/>
      <c r="I334" s="1029"/>
      <c r="K334" s="783"/>
      <c r="L334" s="820"/>
      <c r="M334" s="821"/>
      <c r="N334" s="801"/>
      <c r="O334" s="822"/>
      <c r="P334" s="822"/>
      <c r="Q334" s="822"/>
      <c r="R334" s="822"/>
      <c r="S334" s="822"/>
      <c r="T334" s="822"/>
      <c r="U334" s="822"/>
      <c r="V334" s="822"/>
      <c r="W334" s="822"/>
      <c r="X334" s="822"/>
      <c r="Y334" s="823"/>
      <c r="Z334" s="823"/>
      <c r="AA334" s="823"/>
    </row>
    <row r="335" spans="1:27" ht="15.75" thickBot="1" x14ac:dyDescent="0.3">
      <c r="A335" s="1035">
        <v>326</v>
      </c>
      <c r="B335" s="1035" t="s">
        <v>50</v>
      </c>
      <c r="C335" s="1035" t="s">
        <v>131</v>
      </c>
      <c r="D335" s="847"/>
      <c r="E335" s="1168"/>
      <c r="F335" s="1168"/>
      <c r="G335" s="1168"/>
      <c r="H335" s="1168"/>
      <c r="I335" s="1029"/>
      <c r="K335" s="783"/>
      <c r="L335" s="820"/>
      <c r="M335" s="821"/>
      <c r="N335" s="801"/>
      <c r="O335" s="822"/>
      <c r="P335" s="822"/>
      <c r="Q335" s="822"/>
      <c r="R335" s="822"/>
      <c r="S335" s="822"/>
      <c r="T335" s="822"/>
      <c r="U335" s="822"/>
      <c r="V335" s="822"/>
      <c r="W335" s="822"/>
      <c r="X335" s="822"/>
      <c r="Y335" s="823"/>
      <c r="Z335" s="823"/>
      <c r="AA335" s="823"/>
    </row>
    <row r="336" spans="1:27" x14ac:dyDescent="0.25">
      <c r="A336" s="1037">
        <v>327</v>
      </c>
      <c r="B336" s="1037" t="s">
        <v>50</v>
      </c>
      <c r="C336" s="802" t="s">
        <v>132</v>
      </c>
      <c r="D336" s="1162" t="s">
        <v>891</v>
      </c>
      <c r="E336" s="1158"/>
      <c r="F336" s="1158"/>
      <c r="G336" s="1159"/>
      <c r="H336" s="1167" t="str">
        <f>IF(Hea08_Credits=AIS_credit00,AIS_statement32,"")</f>
        <v>Assessment Issue Not Applicable</v>
      </c>
      <c r="I336" s="1029"/>
      <c r="K336" s="783"/>
      <c r="L336" s="809" t="str">
        <f>C336</f>
        <v>Hea 08</v>
      </c>
      <c r="M336" s="821"/>
      <c r="N336" s="801"/>
      <c r="O336" s="822"/>
      <c r="P336" s="822"/>
      <c r="Q336" s="822"/>
      <c r="R336" s="822"/>
      <c r="S336" s="822"/>
      <c r="T336" s="822"/>
      <c r="U336" s="822"/>
      <c r="V336" s="822"/>
      <c r="W336" s="822"/>
      <c r="X336" s="822"/>
      <c r="Y336" s="823"/>
      <c r="Z336" s="823"/>
      <c r="AA336" s="823"/>
    </row>
    <row r="337" spans="1:27" x14ac:dyDescent="0.25">
      <c r="A337" s="1035">
        <v>328</v>
      </c>
      <c r="B337" s="1035" t="s">
        <v>50</v>
      </c>
      <c r="C337" s="1035" t="s">
        <v>132</v>
      </c>
      <c r="D337" s="1107" t="s">
        <v>17</v>
      </c>
      <c r="E337" s="1108">
        <f>Hea08_Credits</f>
        <v>0</v>
      </c>
      <c r="F337" s="1109"/>
      <c r="G337" s="1110" t="s">
        <v>85</v>
      </c>
      <c r="H337" s="1111">
        <f>Hea08_07</f>
        <v>0</v>
      </c>
      <c r="I337" s="1029"/>
      <c r="K337" s="783"/>
      <c r="L337" s="820"/>
      <c r="M337" s="821"/>
      <c r="N337" s="801"/>
      <c r="O337" s="822"/>
      <c r="P337" s="822"/>
      <c r="Q337" s="822"/>
      <c r="R337" s="822"/>
      <c r="S337" s="822"/>
      <c r="T337" s="822"/>
      <c r="U337" s="822"/>
      <c r="V337" s="822"/>
      <c r="W337" s="822"/>
      <c r="X337" s="822"/>
      <c r="Y337" s="823"/>
      <c r="Z337" s="823"/>
      <c r="AA337" s="823"/>
    </row>
    <row r="338" spans="1:27" x14ac:dyDescent="0.25">
      <c r="A338" s="1035">
        <v>329</v>
      </c>
      <c r="B338" s="1035" t="s">
        <v>50</v>
      </c>
      <c r="C338" s="1035" t="s">
        <v>132</v>
      </c>
      <c r="D338" s="1112" t="s">
        <v>349</v>
      </c>
      <c r="E338" s="1113">
        <v>0</v>
      </c>
      <c r="F338" s="1114"/>
      <c r="G338" s="1115" t="s">
        <v>350</v>
      </c>
      <c r="H338" s="1116" t="s">
        <v>14</v>
      </c>
      <c r="I338" s="1029"/>
      <c r="K338" s="783"/>
      <c r="L338" s="820"/>
      <c r="M338" s="821"/>
      <c r="N338" s="801"/>
      <c r="O338" s="822"/>
      <c r="P338" s="822"/>
      <c r="Q338" s="822"/>
      <c r="R338" s="822"/>
      <c r="S338" s="822"/>
      <c r="T338" s="822"/>
      <c r="U338" s="822"/>
      <c r="V338" s="822"/>
      <c r="W338" s="822"/>
      <c r="X338" s="822"/>
      <c r="Y338" s="823"/>
      <c r="Z338" s="823"/>
      <c r="AA338" s="823"/>
    </row>
    <row r="339" spans="1:27" x14ac:dyDescent="0.25">
      <c r="A339" s="1035">
        <v>330</v>
      </c>
      <c r="B339" s="1035" t="s">
        <v>50</v>
      </c>
      <c r="C339" s="1035" t="s">
        <v>132</v>
      </c>
      <c r="I339" s="1029"/>
      <c r="K339" s="783"/>
      <c r="L339" s="820"/>
      <c r="M339" s="821"/>
      <c r="N339" s="801"/>
      <c r="O339" s="822"/>
      <c r="P339" s="822"/>
      <c r="Q339" s="822"/>
      <c r="R339" s="822"/>
      <c r="S339" s="822"/>
      <c r="T339" s="822"/>
      <c r="U339" s="822"/>
      <c r="V339" s="822"/>
      <c r="W339" s="822"/>
      <c r="X339" s="822"/>
      <c r="Y339" s="823"/>
      <c r="Z339" s="823"/>
      <c r="AA339" s="823"/>
    </row>
    <row r="340" spans="1:27" ht="15.75" thickBot="1" x14ac:dyDescent="0.3">
      <c r="A340" s="1035">
        <v>331</v>
      </c>
      <c r="B340" s="1035" t="s">
        <v>50</v>
      </c>
      <c r="C340" s="1035" t="s">
        <v>132</v>
      </c>
      <c r="D340" s="1117" t="s">
        <v>351</v>
      </c>
      <c r="E340" s="1118" t="s">
        <v>352</v>
      </c>
      <c r="F340" s="1118" t="s">
        <v>353</v>
      </c>
      <c r="G340" s="1118" t="s">
        <v>354</v>
      </c>
      <c r="H340" s="1118" t="s">
        <v>355</v>
      </c>
      <c r="I340" s="1029"/>
      <c r="K340" s="783"/>
      <c r="L340" s="820"/>
      <c r="M340" s="821"/>
      <c r="N340" s="801"/>
      <c r="O340" s="822"/>
      <c r="P340" s="822"/>
      <c r="Q340" s="822"/>
      <c r="R340" s="822"/>
      <c r="S340" s="822"/>
      <c r="T340" s="822"/>
      <c r="U340" s="822"/>
      <c r="V340" s="822"/>
      <c r="W340" s="822"/>
      <c r="X340" s="822"/>
      <c r="Y340" s="823"/>
      <c r="Z340" s="823"/>
      <c r="AA340" s="823"/>
    </row>
    <row r="341" spans="1:27" x14ac:dyDescent="0.25">
      <c r="A341" s="1035">
        <v>332</v>
      </c>
      <c r="B341" s="1035" t="s">
        <v>50</v>
      </c>
      <c r="C341" s="1035" t="s">
        <v>132</v>
      </c>
      <c r="D341" s="1119" t="s">
        <v>392</v>
      </c>
      <c r="E341" s="1093" t="s">
        <v>360</v>
      </c>
      <c r="F341" s="1139">
        <f>E337</f>
        <v>0</v>
      </c>
      <c r="G341" s="1139">
        <f>IF(AND(E341=AIS_Yes,E342=AIS_Yes),F341,0)</f>
        <v>0</v>
      </c>
      <c r="H341" s="1320" t="s">
        <v>16</v>
      </c>
      <c r="I341" s="1029"/>
      <c r="K341" s="783"/>
      <c r="L341" s="820"/>
      <c r="M341" s="821"/>
      <c r="N341" s="801"/>
      <c r="O341" s="102" t="s">
        <v>1273</v>
      </c>
      <c r="P341" s="822"/>
      <c r="Q341" s="822"/>
      <c r="R341" s="822"/>
      <c r="S341" s="822"/>
      <c r="T341" s="822"/>
      <c r="U341" s="822" t="str">
        <f>$T$4</f>
        <v>No</v>
      </c>
      <c r="V341" s="822"/>
      <c r="W341" s="822"/>
      <c r="X341" s="822"/>
      <c r="Y341" s="823"/>
      <c r="Z341" s="823"/>
      <c r="AA341" s="823"/>
    </row>
    <row r="342" spans="1:27" ht="15.75" thickBot="1" x14ac:dyDescent="0.3">
      <c r="A342" s="1035">
        <v>333</v>
      </c>
      <c r="B342" s="1035" t="s">
        <v>50</v>
      </c>
      <c r="C342" s="1035" t="s">
        <v>132</v>
      </c>
      <c r="D342" s="1147" t="s">
        <v>807</v>
      </c>
      <c r="E342" s="1099" t="s">
        <v>360</v>
      </c>
      <c r="F342" s="1140"/>
      <c r="G342" s="1140"/>
      <c r="H342" s="1321"/>
      <c r="I342" s="1029"/>
      <c r="K342" s="783"/>
      <c r="L342" s="820"/>
      <c r="M342" s="821"/>
      <c r="N342" s="801"/>
      <c r="O342" s="102" t="s">
        <v>1273</v>
      </c>
      <c r="P342" s="822"/>
      <c r="Q342" s="822"/>
      <c r="R342" s="822"/>
      <c r="S342" s="822"/>
      <c r="T342" s="822"/>
      <c r="U342" s="822" t="str">
        <f>$T$4</f>
        <v>No</v>
      </c>
      <c r="V342" s="822"/>
      <c r="W342" s="822"/>
      <c r="X342" s="822"/>
      <c r="Y342" s="823"/>
      <c r="Z342" s="823"/>
      <c r="AA342" s="823"/>
    </row>
    <row r="343" spans="1:27" x14ac:dyDescent="0.25">
      <c r="A343" s="1035">
        <v>334</v>
      </c>
      <c r="B343" s="1035" t="s">
        <v>50</v>
      </c>
      <c r="C343" s="1035" t="s">
        <v>132</v>
      </c>
      <c r="E343" s="1144"/>
      <c r="I343" s="1029"/>
      <c r="K343" s="783"/>
      <c r="L343" s="820"/>
      <c r="M343" s="821"/>
      <c r="N343" s="801"/>
      <c r="O343" s="822"/>
      <c r="P343" s="822"/>
      <c r="Q343" s="822"/>
      <c r="R343" s="822"/>
      <c r="S343" s="822"/>
      <c r="T343" s="822"/>
      <c r="U343" s="822"/>
      <c r="V343" s="822"/>
      <c r="W343" s="822"/>
      <c r="X343" s="822"/>
      <c r="Y343" s="823"/>
      <c r="Z343" s="823"/>
      <c r="AA343" s="823"/>
    </row>
    <row r="344" spans="1:27" x14ac:dyDescent="0.25">
      <c r="A344" s="1035">
        <v>335</v>
      </c>
      <c r="B344" s="1035" t="s">
        <v>50</v>
      </c>
      <c r="C344" s="1035" t="s">
        <v>132</v>
      </c>
      <c r="D344" s="1127" t="s">
        <v>356</v>
      </c>
      <c r="E344" s="1128">
        <f>G341</f>
        <v>0</v>
      </c>
      <c r="I344" s="1029"/>
      <c r="K344" s="783"/>
      <c r="L344" s="820"/>
      <c r="M344" s="821"/>
      <c r="N344" s="801"/>
      <c r="O344" s="822"/>
      <c r="P344" s="822"/>
      <c r="Q344" s="822"/>
      <c r="R344" s="822"/>
      <c r="S344" s="822"/>
      <c r="T344" s="822"/>
      <c r="U344" s="822"/>
      <c r="V344" s="822"/>
      <c r="W344" s="822"/>
      <c r="X344" s="822"/>
      <c r="Y344" s="823"/>
      <c r="Z344" s="823"/>
      <c r="AA344" s="823"/>
    </row>
    <row r="345" spans="1:27" x14ac:dyDescent="0.25">
      <c r="A345" s="1035">
        <v>336</v>
      </c>
      <c r="B345" s="1035" t="s">
        <v>50</v>
      </c>
      <c r="C345" s="1035" t="s">
        <v>132</v>
      </c>
      <c r="D345" s="1129" t="s">
        <v>86</v>
      </c>
      <c r="E345" s="1130">
        <f>Hea08_contr</f>
        <v>0</v>
      </c>
      <c r="I345" s="1029"/>
      <c r="K345" s="783"/>
      <c r="L345" s="820"/>
      <c r="M345" s="821"/>
      <c r="N345" s="801"/>
      <c r="O345" s="822"/>
      <c r="P345" s="822"/>
      <c r="Q345" s="822"/>
      <c r="R345" s="822"/>
      <c r="S345" s="822"/>
      <c r="T345" s="822"/>
      <c r="U345" s="822"/>
      <c r="V345" s="822"/>
      <c r="W345" s="822"/>
      <c r="X345" s="822"/>
      <c r="Y345" s="823"/>
      <c r="Z345" s="823"/>
      <c r="AA345" s="823"/>
    </row>
    <row r="346" spans="1:27" x14ac:dyDescent="0.25">
      <c r="A346" s="1035">
        <v>337</v>
      </c>
      <c r="B346" s="1035" t="s">
        <v>50</v>
      </c>
      <c r="C346" s="1035" t="s">
        <v>132</v>
      </c>
      <c r="D346" s="1131" t="s">
        <v>357</v>
      </c>
      <c r="E346" s="1128" t="s">
        <v>16</v>
      </c>
      <c r="I346" s="1029"/>
      <c r="K346" s="783"/>
      <c r="L346" s="820"/>
      <c r="M346" s="821"/>
      <c r="N346" s="801"/>
      <c r="O346" s="822"/>
      <c r="P346" s="822"/>
      <c r="Q346" s="822"/>
      <c r="R346" s="822"/>
      <c r="S346" s="822"/>
      <c r="T346" s="822"/>
      <c r="U346" s="822"/>
      <c r="V346" s="822"/>
      <c r="W346" s="822"/>
      <c r="X346" s="822"/>
      <c r="Y346" s="823"/>
      <c r="Z346" s="823"/>
      <c r="AA346" s="823"/>
    </row>
    <row r="347" spans="1:27" x14ac:dyDescent="0.25">
      <c r="A347" s="1035">
        <v>338</v>
      </c>
      <c r="B347" s="1035" t="s">
        <v>50</v>
      </c>
      <c r="C347" s="1035" t="s">
        <v>132</v>
      </c>
      <c r="D347" s="1132" t="s">
        <v>55</v>
      </c>
      <c r="E347" s="1133" t="str">
        <f>Hea08_minstd</f>
        <v>N/A</v>
      </c>
      <c r="F347" s="1134"/>
      <c r="G347" s="1135"/>
      <c r="I347" s="1029"/>
      <c r="K347" s="783"/>
      <c r="L347" s="820"/>
      <c r="M347" s="821"/>
      <c r="N347" s="801"/>
      <c r="O347" s="822"/>
      <c r="P347" s="822"/>
      <c r="Q347" s="822"/>
      <c r="R347" s="822"/>
      <c r="S347" s="822"/>
      <c r="T347" s="822"/>
      <c r="U347" s="822"/>
      <c r="V347" s="822"/>
      <c r="W347" s="822"/>
      <c r="X347" s="822"/>
      <c r="Y347" s="823"/>
      <c r="Z347" s="823"/>
      <c r="AA347" s="823"/>
    </row>
    <row r="348" spans="1:27" x14ac:dyDescent="0.25">
      <c r="A348" s="1035">
        <v>339</v>
      </c>
      <c r="B348" s="1035" t="s">
        <v>50</v>
      </c>
      <c r="C348" s="1035" t="s">
        <v>132</v>
      </c>
      <c r="I348" s="1029"/>
      <c r="K348" s="783"/>
      <c r="L348" s="820"/>
      <c r="M348" s="821"/>
      <c r="N348" s="801"/>
      <c r="O348" s="822"/>
      <c r="P348" s="822"/>
      <c r="Q348" s="822"/>
      <c r="R348" s="822"/>
      <c r="S348" s="822"/>
      <c r="T348" s="822"/>
      <c r="U348" s="822"/>
      <c r="V348" s="822"/>
      <c r="W348" s="822"/>
      <c r="X348" s="822"/>
      <c r="Y348" s="823"/>
      <c r="Z348" s="823"/>
      <c r="AA348" s="823"/>
    </row>
    <row r="349" spans="1:27" x14ac:dyDescent="0.25">
      <c r="A349" s="1035">
        <v>340</v>
      </c>
      <c r="B349" s="1035" t="s">
        <v>50</v>
      </c>
      <c r="C349" s="1035" t="s">
        <v>132</v>
      </c>
      <c r="D349" s="1136" t="s">
        <v>359</v>
      </c>
      <c r="E349" s="1136" t="s">
        <v>977</v>
      </c>
      <c r="F349" s="1136" t="str">
        <f>HLOOKUP(C349,'Assessment References'!$H$512:$BG$513,2,FALSE)</f>
        <v/>
      </c>
      <c r="G349" s="1137"/>
      <c r="H349" s="1138"/>
      <c r="I349" s="1029"/>
      <c r="K349" s="783"/>
      <c r="L349" s="820"/>
      <c r="M349" s="821"/>
      <c r="N349" s="801"/>
      <c r="O349" s="822"/>
      <c r="P349" s="822"/>
      <c r="Q349" s="822"/>
      <c r="R349" s="822"/>
      <c r="S349" s="822"/>
      <c r="T349" s="822"/>
      <c r="U349" s="822"/>
      <c r="V349" s="822"/>
      <c r="W349" s="822"/>
      <c r="X349" s="822"/>
      <c r="Y349" s="823"/>
      <c r="Z349" s="823"/>
      <c r="AA349" s="823"/>
    </row>
    <row r="350" spans="1:27" x14ac:dyDescent="0.25">
      <c r="A350" s="1035">
        <v>341</v>
      </c>
      <c r="B350" s="1035" t="s">
        <v>50</v>
      </c>
      <c r="C350" s="1035" t="s">
        <v>132</v>
      </c>
      <c r="D350" s="1363"/>
      <c r="E350" s="1352"/>
      <c r="F350" s="1352"/>
      <c r="G350" s="1352"/>
      <c r="H350" s="1353"/>
      <c r="I350" s="1029"/>
      <c r="K350" s="783"/>
      <c r="L350" s="820"/>
      <c r="M350" s="821"/>
      <c r="N350" s="801"/>
      <c r="O350" s="822"/>
      <c r="P350" s="822"/>
      <c r="Q350" s="822"/>
      <c r="R350" s="822"/>
      <c r="S350" s="822"/>
      <c r="T350" s="822"/>
      <c r="U350" s="822"/>
      <c r="V350" s="822"/>
      <c r="W350" s="822"/>
      <c r="X350" s="822"/>
      <c r="Y350" s="823"/>
      <c r="Z350" s="823"/>
      <c r="AA350" s="823"/>
    </row>
    <row r="351" spans="1:27" x14ac:dyDescent="0.25">
      <c r="A351" s="1035">
        <v>342</v>
      </c>
      <c r="B351" s="1035" t="s">
        <v>50</v>
      </c>
      <c r="C351" s="1035" t="s">
        <v>132</v>
      </c>
      <c r="D351" s="1354"/>
      <c r="E351" s="1355"/>
      <c r="F351" s="1355"/>
      <c r="G351" s="1355"/>
      <c r="H351" s="1356"/>
      <c r="I351" s="1029"/>
      <c r="K351" s="783"/>
      <c r="L351" s="820"/>
      <c r="M351" s="821"/>
      <c r="N351" s="801"/>
      <c r="O351" s="822"/>
      <c r="P351" s="822"/>
      <c r="Q351" s="822"/>
      <c r="R351" s="822"/>
      <c r="S351" s="822"/>
      <c r="T351" s="822"/>
      <c r="U351" s="822"/>
      <c r="V351" s="822"/>
      <c r="W351" s="822"/>
      <c r="X351" s="822"/>
      <c r="Y351" s="823"/>
      <c r="Z351" s="823"/>
      <c r="AA351" s="823"/>
    </row>
    <row r="352" spans="1:27" x14ac:dyDescent="0.25">
      <c r="A352" s="1035">
        <v>343</v>
      </c>
      <c r="B352" s="1035" t="s">
        <v>50</v>
      </c>
      <c r="C352" s="1035" t="s">
        <v>132</v>
      </c>
      <c r="D352" s="1354"/>
      <c r="E352" s="1355"/>
      <c r="F352" s="1355"/>
      <c r="G352" s="1355"/>
      <c r="H352" s="1356"/>
      <c r="I352" s="1029"/>
      <c r="K352" s="783"/>
      <c r="L352" s="820"/>
      <c r="M352" s="821"/>
      <c r="N352" s="801"/>
      <c r="O352" s="822"/>
      <c r="P352" s="822"/>
      <c r="Q352" s="822"/>
      <c r="R352" s="822"/>
      <c r="S352" s="822"/>
      <c r="T352" s="822"/>
      <c r="U352" s="822"/>
      <c r="V352" s="822"/>
      <c r="W352" s="822"/>
      <c r="X352" s="822"/>
      <c r="Y352" s="823"/>
      <c r="Z352" s="823"/>
      <c r="AA352" s="823"/>
    </row>
    <row r="353" spans="1:27" x14ac:dyDescent="0.25">
      <c r="A353" s="1035">
        <v>344</v>
      </c>
      <c r="B353" s="1035" t="s">
        <v>50</v>
      </c>
      <c r="C353" s="1035" t="s">
        <v>132</v>
      </c>
      <c r="D353" s="1364"/>
      <c r="E353" s="1358"/>
      <c r="F353" s="1358"/>
      <c r="G353" s="1358"/>
      <c r="H353" s="1359"/>
      <c r="I353" s="1029"/>
      <c r="K353" s="783"/>
      <c r="L353" s="820"/>
      <c r="M353" s="821"/>
      <c r="N353" s="801"/>
      <c r="O353" s="822"/>
      <c r="P353" s="822"/>
      <c r="Q353" s="822"/>
      <c r="R353" s="822"/>
      <c r="S353" s="822"/>
      <c r="T353" s="822"/>
      <c r="U353" s="822"/>
      <c r="V353" s="822"/>
      <c r="W353" s="822"/>
      <c r="X353" s="822"/>
      <c r="Y353" s="823"/>
      <c r="Z353" s="823"/>
      <c r="AA353" s="823"/>
    </row>
    <row r="354" spans="1:27" x14ac:dyDescent="0.25">
      <c r="A354" s="1035">
        <v>345</v>
      </c>
      <c r="B354" s="1035" t="s">
        <v>50</v>
      </c>
      <c r="C354" s="1035" t="s">
        <v>132</v>
      </c>
      <c r="D354" s="1364"/>
      <c r="E354" s="1358"/>
      <c r="F354" s="1358"/>
      <c r="G354" s="1358"/>
      <c r="H354" s="1359"/>
      <c r="I354" s="1029"/>
      <c r="K354" s="783"/>
      <c r="L354" s="820"/>
      <c r="M354" s="821"/>
      <c r="N354" s="801"/>
      <c r="O354" s="822"/>
      <c r="P354" s="822"/>
      <c r="Q354" s="822"/>
      <c r="R354" s="822"/>
      <c r="S354" s="822"/>
      <c r="T354" s="822"/>
      <c r="U354" s="822"/>
      <c r="V354" s="822"/>
      <c r="W354" s="822"/>
      <c r="X354" s="822"/>
      <c r="Y354" s="823"/>
      <c r="Z354" s="823"/>
      <c r="AA354" s="823"/>
    </row>
    <row r="355" spans="1:27" x14ac:dyDescent="0.25">
      <c r="A355" s="1035">
        <v>346</v>
      </c>
      <c r="B355" s="1035" t="s">
        <v>50</v>
      </c>
      <c r="C355" s="1035" t="s">
        <v>132</v>
      </c>
      <c r="D355" s="1360"/>
      <c r="E355" s="1361"/>
      <c r="F355" s="1361"/>
      <c r="G355" s="1361"/>
      <c r="H355" s="1362"/>
      <c r="I355" s="1029"/>
      <c r="K355" s="783"/>
      <c r="L355" s="820"/>
      <c r="M355" s="821"/>
      <c r="N355" s="801"/>
      <c r="O355" s="822"/>
      <c r="P355" s="822"/>
      <c r="Q355" s="822"/>
      <c r="R355" s="822"/>
      <c r="S355" s="822"/>
      <c r="T355" s="822"/>
      <c r="U355" s="822"/>
      <c r="V355" s="822"/>
      <c r="W355" s="822"/>
      <c r="X355" s="822"/>
      <c r="Y355" s="823"/>
      <c r="Z355" s="823"/>
      <c r="AA355" s="823"/>
    </row>
    <row r="356" spans="1:27" ht="15.75" thickBot="1" x14ac:dyDescent="0.3">
      <c r="A356" s="1035">
        <v>347</v>
      </c>
      <c r="B356" s="1035" t="s">
        <v>50</v>
      </c>
      <c r="C356" s="1035" t="s">
        <v>132</v>
      </c>
      <c r="D356" s="847"/>
      <c r="E356" s="1168"/>
      <c r="F356" s="1168"/>
      <c r="G356" s="1168"/>
      <c r="H356" s="1168"/>
      <c r="I356" s="1029"/>
      <c r="K356" s="783"/>
      <c r="L356" s="820"/>
      <c r="M356" s="821"/>
      <c r="N356" s="801"/>
      <c r="O356" s="822"/>
      <c r="P356" s="822"/>
      <c r="Q356" s="822"/>
      <c r="R356" s="822"/>
      <c r="S356" s="822"/>
      <c r="T356" s="822"/>
      <c r="U356" s="822"/>
      <c r="V356" s="822"/>
      <c r="W356" s="822"/>
      <c r="X356" s="822"/>
      <c r="Y356" s="823"/>
      <c r="Z356" s="823"/>
      <c r="AA356" s="823"/>
    </row>
    <row r="357" spans="1:27" x14ac:dyDescent="0.25">
      <c r="A357" s="1037">
        <v>348</v>
      </c>
      <c r="B357" s="1037" t="s">
        <v>50</v>
      </c>
      <c r="C357" s="802" t="s">
        <v>133</v>
      </c>
      <c r="D357" s="1162" t="s">
        <v>892</v>
      </c>
      <c r="E357" s="1158"/>
      <c r="F357" s="1158"/>
      <c r="G357" s="1159"/>
      <c r="H357" s="1159"/>
      <c r="I357" s="1029"/>
      <c r="K357" s="783"/>
      <c r="L357" s="809" t="str">
        <f>C357</f>
        <v>Hea 09</v>
      </c>
      <c r="M357" s="821"/>
      <c r="N357" s="801"/>
      <c r="O357" s="822"/>
      <c r="P357" s="822"/>
      <c r="Q357" s="822"/>
      <c r="R357" s="822"/>
      <c r="S357" s="822"/>
      <c r="T357" s="822"/>
      <c r="U357" s="822"/>
      <c r="V357" s="822"/>
      <c r="W357" s="822"/>
      <c r="X357" s="822"/>
      <c r="Y357" s="823"/>
      <c r="Z357" s="823"/>
      <c r="AA357" s="823"/>
    </row>
    <row r="358" spans="1:27" x14ac:dyDescent="0.25">
      <c r="A358" s="1035">
        <v>349</v>
      </c>
      <c r="B358" s="1035" t="s">
        <v>50</v>
      </c>
      <c r="C358" s="1035" t="s">
        <v>133</v>
      </c>
      <c r="D358" s="1107" t="s">
        <v>17</v>
      </c>
      <c r="E358" s="1108">
        <f>Hea09_Credits</f>
        <v>3</v>
      </c>
      <c r="F358" s="1109"/>
      <c r="G358" s="1110" t="s">
        <v>85</v>
      </c>
      <c r="H358" s="1111">
        <f>Poeng!T27</f>
        <v>2.2499999999999999E-2</v>
      </c>
      <c r="I358" s="1029"/>
      <c r="K358" s="783"/>
      <c r="L358" s="820"/>
      <c r="M358" s="821"/>
      <c r="N358" s="801"/>
      <c r="O358" s="822"/>
      <c r="P358" s="822"/>
      <c r="Q358" s="822"/>
      <c r="R358" s="822"/>
      <c r="S358" s="822"/>
      <c r="T358" s="822"/>
      <c r="U358" s="822"/>
      <c r="V358" s="822"/>
      <c r="W358" s="822"/>
      <c r="X358" s="822"/>
      <c r="Y358" s="823"/>
      <c r="Z358" s="823"/>
      <c r="AA358" s="823"/>
    </row>
    <row r="359" spans="1:27" x14ac:dyDescent="0.25">
      <c r="A359" s="1035">
        <v>350</v>
      </c>
      <c r="B359" s="1035" t="s">
        <v>50</v>
      </c>
      <c r="C359" s="1035" t="s">
        <v>133</v>
      </c>
      <c r="D359" s="1112" t="s">
        <v>349</v>
      </c>
      <c r="E359" s="1113">
        <v>0</v>
      </c>
      <c r="F359" s="1114"/>
      <c r="G359" s="1115" t="s">
        <v>350</v>
      </c>
      <c r="H359" s="1116" t="s">
        <v>14</v>
      </c>
      <c r="I359" s="1029"/>
      <c r="K359" s="783"/>
      <c r="L359" s="820"/>
      <c r="M359" s="821"/>
      <c r="N359" s="801"/>
      <c r="O359" s="822"/>
      <c r="P359" s="822"/>
      <c r="Q359" s="822"/>
      <c r="R359" s="822"/>
      <c r="S359" s="822"/>
      <c r="T359" s="822"/>
      <c r="U359" s="822"/>
      <c r="V359" s="822"/>
      <c r="W359" s="822"/>
      <c r="X359" s="822"/>
      <c r="Y359" s="823"/>
      <c r="Z359" s="823"/>
      <c r="AA359" s="823"/>
    </row>
    <row r="360" spans="1:27" x14ac:dyDescent="0.25">
      <c r="A360" s="1035">
        <v>351</v>
      </c>
      <c r="B360" s="1035" t="s">
        <v>50</v>
      </c>
      <c r="C360" s="1035" t="s">
        <v>133</v>
      </c>
      <c r="I360" s="1029"/>
      <c r="K360" s="783"/>
      <c r="L360" s="820"/>
      <c r="M360" s="821"/>
      <c r="N360" s="801"/>
      <c r="O360" s="822"/>
      <c r="P360" s="822"/>
      <c r="Q360" s="822"/>
      <c r="R360" s="822"/>
      <c r="S360" s="822"/>
      <c r="T360" s="822"/>
      <c r="U360" s="822"/>
      <c r="V360" s="822"/>
      <c r="W360" s="822"/>
      <c r="X360" s="822"/>
      <c r="Y360" s="823"/>
      <c r="Z360" s="823"/>
      <c r="AA360" s="823"/>
    </row>
    <row r="361" spans="1:27" ht="15.75" thickBot="1" x14ac:dyDescent="0.3">
      <c r="A361" s="1035">
        <v>352</v>
      </c>
      <c r="B361" s="1035" t="s">
        <v>50</v>
      </c>
      <c r="C361" s="1035" t="s">
        <v>133</v>
      </c>
      <c r="D361" s="1117" t="s">
        <v>351</v>
      </c>
      <c r="E361" s="1118" t="s">
        <v>352</v>
      </c>
      <c r="F361" s="1118" t="s">
        <v>353</v>
      </c>
      <c r="G361" s="1118" t="s">
        <v>354</v>
      </c>
      <c r="H361" s="1118" t="s">
        <v>355</v>
      </c>
      <c r="I361" s="1029"/>
      <c r="K361" s="783"/>
      <c r="L361" s="820"/>
      <c r="M361" s="821"/>
      <c r="N361" s="801"/>
      <c r="O361" s="822"/>
      <c r="P361" s="822"/>
      <c r="Q361" s="822"/>
      <c r="R361" s="822"/>
      <c r="S361" s="822"/>
      <c r="T361" s="822"/>
      <c r="U361" s="822"/>
      <c r="V361" s="822"/>
      <c r="W361" s="822"/>
      <c r="X361" s="822"/>
      <c r="Y361" s="823"/>
      <c r="Z361" s="823"/>
      <c r="AA361" s="823"/>
    </row>
    <row r="362" spans="1:27" x14ac:dyDescent="0.25">
      <c r="A362" s="1035">
        <v>353</v>
      </c>
      <c r="B362" s="1035" t="s">
        <v>50</v>
      </c>
      <c r="C362" s="1035" t="s">
        <v>133</v>
      </c>
      <c r="D362" s="1119" t="s">
        <v>808</v>
      </c>
      <c r="E362" s="1093" t="s">
        <v>360</v>
      </c>
      <c r="F362" s="1139">
        <v>1</v>
      </c>
      <c r="G362" s="1139">
        <f>IF(AND(E362=AIS_Yes,E363=AIS_Yes),F362,0)</f>
        <v>0</v>
      </c>
      <c r="H362" s="1328" t="s">
        <v>16</v>
      </c>
      <c r="I362" s="1029"/>
      <c r="K362" s="783"/>
      <c r="L362" s="820"/>
      <c r="M362" s="821"/>
      <c r="N362" s="801"/>
      <c r="O362" s="102" t="s">
        <v>1273</v>
      </c>
      <c r="P362" s="822"/>
      <c r="Q362" s="822"/>
      <c r="R362" s="822"/>
      <c r="S362" s="822"/>
      <c r="T362" s="822"/>
      <c r="U362" s="822" t="str">
        <f>$T$4</f>
        <v>No</v>
      </c>
      <c r="V362" s="822"/>
      <c r="W362" s="822"/>
      <c r="X362" s="822"/>
      <c r="Y362" s="823"/>
      <c r="Z362" s="823"/>
      <c r="AA362" s="823"/>
    </row>
    <row r="363" spans="1:27" x14ac:dyDescent="0.25">
      <c r="A363" s="1035">
        <v>354</v>
      </c>
      <c r="B363" s="1035"/>
      <c r="C363" s="1035"/>
      <c r="D363" s="1160" t="s">
        <v>1013</v>
      </c>
      <c r="E363" s="1100" t="s">
        <v>360</v>
      </c>
      <c r="F363" s="1161"/>
      <c r="G363" s="1161"/>
      <c r="H363" s="1323"/>
      <c r="I363" s="1029"/>
      <c r="K363" s="783"/>
      <c r="L363" s="820"/>
      <c r="M363" s="821"/>
      <c r="N363" s="801"/>
      <c r="O363" s="102" t="s">
        <v>1273</v>
      </c>
      <c r="P363" s="822"/>
      <c r="Q363" s="822"/>
      <c r="R363" s="822"/>
      <c r="S363" s="822"/>
      <c r="T363" s="822"/>
      <c r="U363" s="822" t="str">
        <f>$T$4</f>
        <v>No</v>
      </c>
      <c r="V363" s="822"/>
      <c r="W363" s="822"/>
      <c r="X363" s="822"/>
      <c r="Y363" s="823"/>
      <c r="Z363" s="823"/>
      <c r="AA363" s="823"/>
    </row>
    <row r="364" spans="1:27" x14ac:dyDescent="0.25">
      <c r="A364" s="1035">
        <v>355</v>
      </c>
      <c r="B364" s="1035" t="s">
        <v>50</v>
      </c>
      <c r="C364" s="1035" t="s">
        <v>133</v>
      </c>
      <c r="D364" s="1160" t="s">
        <v>809</v>
      </c>
      <c r="E364" s="1100" t="s">
        <v>360</v>
      </c>
      <c r="F364" s="1161">
        <f>IF(G362=0,0,1)</f>
        <v>0</v>
      </c>
      <c r="G364" s="1122">
        <f>IF(E364=AIS_Yes,F364,0)</f>
        <v>0</v>
      </c>
      <c r="H364" s="1318" t="s">
        <v>16</v>
      </c>
      <c r="I364" s="1029"/>
      <c r="K364" s="783"/>
      <c r="L364" s="820"/>
      <c r="M364" s="821"/>
      <c r="N364" s="801"/>
      <c r="O364" s="102" t="s">
        <v>1273</v>
      </c>
      <c r="P364" s="822"/>
      <c r="Q364" s="822"/>
      <c r="R364" s="822"/>
      <c r="S364" s="822"/>
      <c r="T364" s="822"/>
      <c r="U364" s="822" t="str">
        <f>$T$4</f>
        <v>No</v>
      </c>
      <c r="V364" s="822"/>
      <c r="W364" s="822"/>
      <c r="X364" s="822"/>
      <c r="Y364" s="823"/>
      <c r="Z364" s="823"/>
      <c r="AA364" s="823"/>
    </row>
    <row r="365" spans="1:27" ht="15.75" thickBot="1" x14ac:dyDescent="0.3">
      <c r="A365" s="1035">
        <v>356</v>
      </c>
      <c r="B365" s="1035" t="s">
        <v>50</v>
      </c>
      <c r="C365" s="1035" t="s">
        <v>133</v>
      </c>
      <c r="D365" s="1123" t="s">
        <v>810</v>
      </c>
      <c r="E365" s="1099" t="s">
        <v>360</v>
      </c>
      <c r="F365" s="1124">
        <f>IF(G362+G364&lt;&gt;2,0,1)</f>
        <v>0</v>
      </c>
      <c r="G365" s="1124">
        <f>IF(E365=AIS_Yes,F365,0)</f>
        <v>0</v>
      </c>
      <c r="H365" s="1321" t="s">
        <v>16</v>
      </c>
      <c r="I365" s="1029"/>
      <c r="K365" s="783"/>
      <c r="L365" s="820"/>
      <c r="M365" s="821"/>
      <c r="N365" s="801"/>
      <c r="O365" s="102" t="s">
        <v>1273</v>
      </c>
      <c r="P365" s="822"/>
      <c r="Q365" s="822"/>
      <c r="R365" s="822"/>
      <c r="S365" s="822"/>
      <c r="T365" s="822"/>
      <c r="U365" s="822" t="str">
        <f>$T$4</f>
        <v>No</v>
      </c>
      <c r="V365" s="822"/>
      <c r="W365" s="822"/>
      <c r="X365" s="822"/>
      <c r="Y365" s="823"/>
      <c r="Z365" s="823"/>
      <c r="AA365" s="823"/>
    </row>
    <row r="366" spans="1:27" x14ac:dyDescent="0.25">
      <c r="A366" s="1035">
        <v>357</v>
      </c>
      <c r="B366" s="1035" t="s">
        <v>50</v>
      </c>
      <c r="C366" s="1035" t="s">
        <v>133</v>
      </c>
      <c r="E366" s="1144"/>
      <c r="I366" s="1029"/>
      <c r="K366" s="783"/>
      <c r="L366" s="820"/>
      <c r="M366" s="821"/>
      <c r="N366" s="801"/>
      <c r="O366" s="822"/>
      <c r="P366" s="822"/>
      <c r="Q366" s="822"/>
      <c r="R366" s="822"/>
      <c r="S366" s="822"/>
      <c r="T366" s="822"/>
      <c r="U366" s="822"/>
      <c r="V366" s="822"/>
      <c r="W366" s="822"/>
      <c r="X366" s="822"/>
      <c r="Y366" s="823"/>
      <c r="Z366" s="823"/>
      <c r="AA366" s="823"/>
    </row>
    <row r="367" spans="1:27" x14ac:dyDescent="0.25">
      <c r="A367" s="1035">
        <v>358</v>
      </c>
      <c r="B367" s="1035" t="s">
        <v>50</v>
      </c>
      <c r="C367" s="1035" t="s">
        <v>133</v>
      </c>
      <c r="D367" s="1127" t="s">
        <v>356</v>
      </c>
      <c r="E367" s="1128">
        <f>IF((G362+G364+G365)&gt;E358,E358,G362+G364+G365)</f>
        <v>0</v>
      </c>
      <c r="I367" s="1029"/>
      <c r="J367" s="848"/>
      <c r="K367" s="783"/>
      <c r="L367" s="820"/>
      <c r="M367" s="821"/>
      <c r="N367" s="801"/>
      <c r="O367" s="822"/>
      <c r="P367" s="822"/>
      <c r="Q367" s="822"/>
      <c r="R367" s="822"/>
      <c r="S367" s="822"/>
      <c r="T367" s="822"/>
      <c r="U367" s="822"/>
      <c r="V367" s="822"/>
      <c r="W367" s="822"/>
      <c r="X367" s="822"/>
      <c r="Y367" s="823"/>
      <c r="Z367" s="823"/>
      <c r="AA367" s="823"/>
    </row>
    <row r="368" spans="1:27" x14ac:dyDescent="0.25">
      <c r="A368" s="1035">
        <v>359</v>
      </c>
      <c r="B368" s="1035" t="s">
        <v>50</v>
      </c>
      <c r="C368" s="1035" t="s">
        <v>133</v>
      </c>
      <c r="D368" s="1129" t="s">
        <v>86</v>
      </c>
      <c r="E368" s="1130">
        <f>Hea09_cont</f>
        <v>0</v>
      </c>
      <c r="I368" s="913"/>
      <c r="J368" s="848"/>
      <c r="K368" s="783"/>
      <c r="L368" s="820"/>
      <c r="M368" s="821"/>
      <c r="N368" s="801"/>
      <c r="O368" s="822"/>
      <c r="P368" s="822"/>
      <c r="Q368" s="822"/>
      <c r="R368" s="822"/>
      <c r="S368" s="822"/>
      <c r="T368" s="822"/>
      <c r="U368" s="822"/>
      <c r="V368" s="822"/>
      <c r="W368" s="822"/>
      <c r="X368" s="822"/>
      <c r="Y368" s="823"/>
      <c r="Z368" s="823"/>
      <c r="AA368" s="823"/>
    </row>
    <row r="369" spans="1:27" x14ac:dyDescent="0.25">
      <c r="A369" s="1035">
        <v>360</v>
      </c>
      <c r="B369" s="1035" t="s">
        <v>50</v>
      </c>
      <c r="C369" s="1035" t="s">
        <v>133</v>
      </c>
      <c r="D369" s="1131" t="s">
        <v>357</v>
      </c>
      <c r="E369" s="1128" t="s">
        <v>16</v>
      </c>
      <c r="I369" s="913"/>
      <c r="J369" s="848"/>
      <c r="K369" s="783"/>
      <c r="L369" s="820"/>
      <c r="M369" s="821"/>
      <c r="N369" s="801"/>
      <c r="O369" s="822"/>
      <c r="P369" s="822"/>
      <c r="Q369" s="822"/>
      <c r="R369" s="822"/>
      <c r="S369" s="822"/>
      <c r="T369" s="822"/>
      <c r="U369" s="822"/>
      <c r="V369" s="822"/>
      <c r="W369" s="822"/>
      <c r="X369" s="822"/>
      <c r="Y369" s="823"/>
      <c r="Z369" s="823"/>
      <c r="AA369" s="823"/>
    </row>
    <row r="370" spans="1:27" x14ac:dyDescent="0.25">
      <c r="A370" s="1035">
        <v>361</v>
      </c>
      <c r="B370" s="1035" t="s">
        <v>50</v>
      </c>
      <c r="C370" s="1035" t="s">
        <v>133</v>
      </c>
      <c r="D370" s="1132" t="s">
        <v>55</v>
      </c>
      <c r="E370" s="1133" t="str">
        <f>Hea09_minstd</f>
        <v>Good</v>
      </c>
      <c r="F370" s="1134"/>
      <c r="G370" s="1135"/>
      <c r="I370" s="913"/>
      <c r="J370" s="848"/>
      <c r="K370" s="783"/>
      <c r="L370" s="820"/>
      <c r="M370" s="821"/>
      <c r="N370" s="801"/>
      <c r="O370" s="822"/>
      <c r="P370" s="822"/>
      <c r="Q370" s="822"/>
      <c r="R370" s="822"/>
      <c r="S370" s="822"/>
      <c r="T370" s="822"/>
      <c r="U370" s="822"/>
      <c r="V370" s="822"/>
      <c r="W370" s="822"/>
      <c r="X370" s="822"/>
      <c r="Y370" s="823"/>
      <c r="Z370" s="823"/>
      <c r="AA370" s="823"/>
    </row>
    <row r="371" spans="1:27" x14ac:dyDescent="0.25">
      <c r="A371" s="1035">
        <v>362</v>
      </c>
      <c r="B371" s="1035" t="s">
        <v>50</v>
      </c>
      <c r="C371" s="1035" t="s">
        <v>133</v>
      </c>
      <c r="I371" s="913"/>
      <c r="J371" s="848"/>
      <c r="K371" s="783"/>
      <c r="L371" s="820"/>
      <c r="M371" s="821"/>
      <c r="N371" s="801"/>
      <c r="O371" s="822"/>
      <c r="P371" s="822"/>
      <c r="Q371" s="822"/>
      <c r="R371" s="822"/>
      <c r="S371" s="822"/>
      <c r="T371" s="822"/>
      <c r="U371" s="822"/>
      <c r="V371" s="822"/>
      <c r="W371" s="822"/>
      <c r="X371" s="822"/>
      <c r="Y371" s="823"/>
      <c r="Z371" s="823"/>
      <c r="AA371" s="823"/>
    </row>
    <row r="372" spans="1:27" x14ac:dyDescent="0.25">
      <c r="A372" s="1035">
        <v>363</v>
      </c>
      <c r="B372" s="1035" t="s">
        <v>50</v>
      </c>
      <c r="C372" s="1035" t="s">
        <v>133</v>
      </c>
      <c r="D372" s="1136" t="s">
        <v>359</v>
      </c>
      <c r="E372" s="1136" t="s">
        <v>977</v>
      </c>
      <c r="F372" s="1136" t="str">
        <f>HLOOKUP(C372,'Assessment References'!$H$512:$BG$513,2,FALSE)</f>
        <v/>
      </c>
      <c r="G372" s="1137"/>
      <c r="H372" s="1138"/>
      <c r="I372" s="913"/>
      <c r="J372" s="848"/>
      <c r="K372" s="783"/>
      <c r="L372" s="820"/>
      <c r="M372" s="821"/>
      <c r="N372" s="801"/>
      <c r="O372" s="822"/>
      <c r="P372" s="822"/>
      <c r="Q372" s="822"/>
      <c r="R372" s="822"/>
      <c r="S372" s="822"/>
      <c r="T372" s="822"/>
      <c r="U372" s="822"/>
      <c r="V372" s="822"/>
      <c r="W372" s="822"/>
      <c r="X372" s="822"/>
      <c r="Y372" s="823"/>
      <c r="Z372" s="823"/>
      <c r="AA372" s="823"/>
    </row>
    <row r="373" spans="1:27" x14ac:dyDescent="0.25">
      <c r="A373" s="1035">
        <v>364</v>
      </c>
      <c r="B373" s="1035" t="s">
        <v>50</v>
      </c>
      <c r="C373" s="1035" t="s">
        <v>133</v>
      </c>
      <c r="D373" s="1363"/>
      <c r="E373" s="1352"/>
      <c r="F373" s="1352"/>
      <c r="G373" s="1352"/>
      <c r="H373" s="1353"/>
      <c r="I373" s="913"/>
      <c r="J373" s="848"/>
      <c r="K373" s="783"/>
      <c r="L373" s="820"/>
      <c r="M373" s="821"/>
      <c r="N373" s="801"/>
      <c r="O373" s="822"/>
      <c r="P373" s="822"/>
      <c r="Q373" s="822"/>
      <c r="R373" s="822"/>
      <c r="S373" s="822"/>
      <c r="T373" s="822"/>
      <c r="U373" s="822"/>
      <c r="V373" s="822"/>
      <c r="W373" s="822"/>
      <c r="X373" s="822"/>
      <c r="Y373" s="823"/>
      <c r="Z373" s="823"/>
      <c r="AA373" s="823"/>
    </row>
    <row r="374" spans="1:27" x14ac:dyDescent="0.25">
      <c r="A374" s="1035">
        <v>365</v>
      </c>
      <c r="B374" s="1035" t="s">
        <v>50</v>
      </c>
      <c r="C374" s="1035" t="s">
        <v>133</v>
      </c>
      <c r="D374" s="1354"/>
      <c r="E374" s="1355"/>
      <c r="F374" s="1355"/>
      <c r="G374" s="1355"/>
      <c r="H374" s="1356"/>
      <c r="I374" s="913"/>
      <c r="J374" s="848"/>
      <c r="K374" s="783"/>
      <c r="L374" s="820"/>
      <c r="M374" s="821"/>
      <c r="N374" s="801"/>
      <c r="O374" s="822"/>
      <c r="P374" s="822"/>
      <c r="Q374" s="822"/>
      <c r="R374" s="822"/>
      <c r="S374" s="822"/>
      <c r="T374" s="822"/>
      <c r="U374" s="822"/>
      <c r="V374" s="822"/>
      <c r="W374" s="822"/>
      <c r="X374" s="822"/>
      <c r="Y374" s="823"/>
      <c r="Z374" s="823"/>
      <c r="AA374" s="823"/>
    </row>
    <row r="375" spans="1:27" ht="15.75" thickBot="1" x14ac:dyDescent="0.3">
      <c r="A375" s="1035">
        <v>366</v>
      </c>
      <c r="B375" s="1035" t="s">
        <v>50</v>
      </c>
      <c r="C375" s="1035" t="s">
        <v>133</v>
      </c>
      <c r="D375" s="1354"/>
      <c r="E375" s="1355"/>
      <c r="F375" s="1355"/>
      <c r="G375" s="1355"/>
      <c r="H375" s="1356"/>
      <c r="I375" s="913"/>
      <c r="J375" s="848"/>
      <c r="K375" s="783"/>
      <c r="L375" s="820"/>
      <c r="M375" s="821"/>
      <c r="N375" s="801"/>
      <c r="O375" s="822"/>
      <c r="P375" s="822"/>
      <c r="Q375" s="822"/>
      <c r="R375" s="822"/>
      <c r="S375" s="822"/>
      <c r="T375" s="822"/>
      <c r="U375" s="822"/>
      <c r="V375" s="822"/>
      <c r="W375" s="822"/>
      <c r="X375" s="822"/>
      <c r="Y375" s="823"/>
      <c r="Z375" s="823"/>
      <c r="AA375" s="823"/>
    </row>
    <row r="376" spans="1:27" ht="15.75" thickBot="1" x14ac:dyDescent="0.3">
      <c r="A376" s="1035">
        <v>367</v>
      </c>
      <c r="B376" s="1035" t="s">
        <v>50</v>
      </c>
      <c r="C376" s="1035" t="s">
        <v>133</v>
      </c>
      <c r="D376" s="1364"/>
      <c r="E376" s="1358"/>
      <c r="F376" s="1358"/>
      <c r="G376" s="1358"/>
      <c r="H376" s="1359"/>
      <c r="I376" s="913"/>
      <c r="J376" s="848"/>
      <c r="K376" s="783"/>
      <c r="L376" s="809" t="str">
        <f>C382</f>
        <v>Ene 01</v>
      </c>
      <c r="M376" s="821"/>
      <c r="N376" s="801"/>
      <c r="O376" s="822"/>
      <c r="P376" s="822"/>
      <c r="Q376" s="822"/>
      <c r="R376" s="822"/>
      <c r="S376" s="822"/>
      <c r="T376" s="822"/>
      <c r="U376" s="822"/>
      <c r="V376" s="822"/>
      <c r="W376" s="822"/>
      <c r="X376" s="822"/>
      <c r="Y376" s="823"/>
      <c r="Z376" s="823"/>
      <c r="AA376" s="823"/>
    </row>
    <row r="377" spans="1:27" x14ac:dyDescent="0.25">
      <c r="A377" s="1035">
        <v>368</v>
      </c>
      <c r="B377" s="1035" t="s">
        <v>50</v>
      </c>
      <c r="C377" s="1035" t="s">
        <v>133</v>
      </c>
      <c r="D377" s="1364"/>
      <c r="E377" s="1358"/>
      <c r="F377" s="1358"/>
      <c r="G377" s="1358"/>
      <c r="H377" s="1359"/>
      <c r="I377" s="913"/>
      <c r="J377" s="848"/>
      <c r="K377" s="783"/>
      <c r="L377" s="841" t="str">
        <f>IF(N380=AIS_Yes,N382,ADBT0)</f>
        <v>Office</v>
      </c>
      <c r="M377" s="821"/>
      <c r="N377" s="801" t="s">
        <v>11</v>
      </c>
      <c r="O377" s="822"/>
      <c r="P377" s="822"/>
      <c r="Q377" s="822"/>
      <c r="R377" s="822"/>
      <c r="S377" s="822"/>
      <c r="T377" s="822"/>
      <c r="U377" s="822"/>
      <c r="V377" s="822"/>
      <c r="W377" s="822"/>
      <c r="X377" s="822"/>
      <c r="Y377" s="823"/>
      <c r="Z377" s="823"/>
      <c r="AA377" s="823"/>
    </row>
    <row r="378" spans="1:27" ht="15.75" thickBot="1" x14ac:dyDescent="0.3">
      <c r="A378" s="1035">
        <v>369</v>
      </c>
      <c r="B378" s="1035" t="s">
        <v>50</v>
      </c>
      <c r="C378" s="1035" t="s">
        <v>133</v>
      </c>
      <c r="D378" s="1360"/>
      <c r="E378" s="1361"/>
      <c r="F378" s="1361"/>
      <c r="G378" s="1361"/>
      <c r="H378" s="1362"/>
      <c r="I378" s="913"/>
      <c r="J378" s="848"/>
      <c r="K378" s="783"/>
      <c r="L378" s="845" t="str">
        <f>IF(N380=AIS_Yes,N377,ADBT12)</f>
        <v>Residential</v>
      </c>
      <c r="M378" s="821"/>
      <c r="N378" s="801"/>
      <c r="O378" s="822"/>
      <c r="P378" s="822"/>
      <c r="Q378" s="822"/>
      <c r="R378" s="822"/>
      <c r="S378" s="822"/>
      <c r="T378" s="822"/>
      <c r="U378" s="822"/>
      <c r="V378" s="822"/>
      <c r="W378" s="822"/>
      <c r="X378" s="822"/>
      <c r="Y378" s="823"/>
      <c r="Z378" s="823"/>
      <c r="AA378" s="823"/>
    </row>
    <row r="379" spans="1:27" x14ac:dyDescent="0.25">
      <c r="A379" s="1035">
        <v>370</v>
      </c>
      <c r="B379" s="1035" t="s">
        <v>50</v>
      </c>
      <c r="C379" s="1035" t="s">
        <v>133</v>
      </c>
      <c r="D379" s="1169"/>
      <c r="E379" s="1169"/>
      <c r="F379" s="1169"/>
      <c r="G379" s="1169"/>
      <c r="H379" s="1169"/>
      <c r="I379" s="913"/>
      <c r="J379" s="848"/>
      <c r="K379" s="783"/>
      <c r="L379" s="849">
        <f t="shared" ref="L379:L390" si="18">IF($L$377=$L$378,M394,L394)</f>
        <v>0.05</v>
      </c>
      <c r="M379" s="821"/>
      <c r="N379" s="1077" t="s">
        <v>1167</v>
      </c>
      <c r="O379" s="822"/>
      <c r="P379" s="822"/>
      <c r="Q379" s="822"/>
      <c r="R379" s="822"/>
      <c r="S379" s="822"/>
      <c r="T379" s="822"/>
      <c r="U379" s="822"/>
      <c r="V379" s="822"/>
      <c r="W379" s="822"/>
      <c r="X379" s="822"/>
      <c r="Y379" s="823"/>
      <c r="Z379" s="823"/>
      <c r="AA379" s="823"/>
    </row>
    <row r="380" spans="1:27" ht="18.75" x14ac:dyDescent="0.3">
      <c r="A380" s="1041">
        <v>371</v>
      </c>
      <c r="B380" s="1032" t="s">
        <v>49</v>
      </c>
      <c r="C380" s="1033"/>
      <c r="D380" s="1154"/>
      <c r="E380" s="1154"/>
      <c r="F380" s="1154"/>
      <c r="G380" s="1154"/>
      <c r="H380" s="1155"/>
      <c r="I380" s="913"/>
      <c r="J380" s="848"/>
      <c r="K380" s="783"/>
      <c r="L380" s="850">
        <f t="shared" si="18"/>
        <v>7.0000000000000007E-2</v>
      </c>
      <c r="M380" s="821"/>
      <c r="N380" s="801" t="str">
        <f>'Manuell filtrering og justering'!H2</f>
        <v>No</v>
      </c>
      <c r="O380" s="822"/>
      <c r="P380" s="822"/>
      <c r="Q380" s="822"/>
      <c r="R380" s="822"/>
      <c r="S380" s="822"/>
      <c r="T380" s="822"/>
      <c r="U380" s="822"/>
      <c r="V380" s="822"/>
      <c r="W380" s="822"/>
      <c r="X380" s="822"/>
      <c r="Y380" s="823"/>
      <c r="Z380" s="823"/>
      <c r="AA380" s="823"/>
    </row>
    <row r="381" spans="1:27" x14ac:dyDescent="0.25">
      <c r="A381" s="1035">
        <v>372</v>
      </c>
      <c r="B381" s="1035" t="s">
        <v>49</v>
      </c>
      <c r="C381" s="1029"/>
      <c r="D381" s="1170"/>
      <c r="E381" s="1170"/>
      <c r="F381" s="1170"/>
      <c r="G381" s="1170"/>
      <c r="H381" s="1170"/>
      <c r="I381" s="913"/>
      <c r="J381" s="848"/>
      <c r="K381" s="783"/>
      <c r="L381" s="850">
        <f t="shared" si="18"/>
        <v>0.11</v>
      </c>
      <c r="M381" s="821"/>
      <c r="N381" s="801"/>
      <c r="O381" s="822"/>
      <c r="P381" s="822"/>
      <c r="Q381" s="822"/>
      <c r="R381" s="822"/>
      <c r="S381" s="822"/>
      <c r="T381" s="822"/>
      <c r="U381" s="822"/>
      <c r="V381" s="822"/>
      <c r="W381" s="822"/>
      <c r="X381" s="822"/>
      <c r="Y381" s="823"/>
      <c r="Z381" s="823"/>
      <c r="AA381" s="823"/>
    </row>
    <row r="382" spans="1:27" x14ac:dyDescent="0.25">
      <c r="A382" s="1037">
        <v>373</v>
      </c>
      <c r="B382" s="1037" t="s">
        <v>49</v>
      </c>
      <c r="C382" s="802" t="s">
        <v>146</v>
      </c>
      <c r="D382" s="1162" t="s">
        <v>893</v>
      </c>
      <c r="E382" s="1158"/>
      <c r="F382" s="1158"/>
      <c r="G382" s="1159"/>
      <c r="H382" s="1159"/>
      <c r="I382" s="913"/>
      <c r="J382" s="848"/>
      <c r="K382" s="783"/>
      <c r="L382" s="850">
        <f t="shared" si="18"/>
        <v>0.15</v>
      </c>
      <c r="M382" s="821"/>
      <c r="N382" s="801" t="str">
        <f>'Manuell filtrering og justering'!J29</f>
        <v>Nonresidential</v>
      </c>
      <c r="O382" s="822"/>
      <c r="P382" s="822"/>
      <c r="Q382" s="822"/>
      <c r="R382" s="822"/>
      <c r="S382" s="822"/>
      <c r="T382" s="822"/>
      <c r="U382" s="822"/>
      <c r="V382" s="822"/>
      <c r="W382" s="822"/>
      <c r="X382" s="822"/>
      <c r="Y382" s="823"/>
      <c r="Z382" s="823"/>
      <c r="AA382" s="823"/>
    </row>
    <row r="383" spans="1:27" x14ac:dyDescent="0.25">
      <c r="A383" s="1035">
        <v>374</v>
      </c>
      <c r="B383" s="1035" t="s">
        <v>49</v>
      </c>
      <c r="C383" s="1035" t="s">
        <v>146</v>
      </c>
      <c r="D383" s="1107" t="s">
        <v>17</v>
      </c>
      <c r="E383" s="1108">
        <f>Ene01_credits</f>
        <v>12</v>
      </c>
      <c r="F383" s="1109"/>
      <c r="G383" s="1110" t="s">
        <v>85</v>
      </c>
      <c r="H383" s="1111">
        <f>Ene01_41</f>
        <v>0.10363636363636364</v>
      </c>
      <c r="I383" s="913"/>
      <c r="J383" s="848"/>
      <c r="K383" s="783"/>
      <c r="L383" s="850">
        <f t="shared" si="18"/>
        <v>0.19</v>
      </c>
      <c r="M383" s="821"/>
      <c r="N383" s="801"/>
      <c r="O383" s="822"/>
      <c r="P383" s="822"/>
      <c r="Q383" s="822"/>
      <c r="R383" s="822"/>
      <c r="S383" s="822"/>
      <c r="T383" s="822"/>
      <c r="U383" s="822"/>
      <c r="V383" s="822"/>
      <c r="W383" s="822"/>
      <c r="X383" s="822"/>
      <c r="Y383" s="823"/>
      <c r="Z383" s="823"/>
      <c r="AA383" s="823"/>
    </row>
    <row r="384" spans="1:27" x14ac:dyDescent="0.25">
      <c r="A384" s="1035">
        <v>375</v>
      </c>
      <c r="B384" s="1035" t="s">
        <v>49</v>
      </c>
      <c r="C384" s="1035" t="s">
        <v>146</v>
      </c>
      <c r="D384" s="1112" t="s">
        <v>349</v>
      </c>
      <c r="E384" s="1113">
        <v>0</v>
      </c>
      <c r="F384" s="1114"/>
      <c r="G384" s="1115" t="s">
        <v>350</v>
      </c>
      <c r="H384" s="1116" t="s">
        <v>14</v>
      </c>
      <c r="I384" s="913"/>
      <c r="J384" s="848"/>
      <c r="K384" s="783"/>
      <c r="L384" s="850">
        <f t="shared" si="18"/>
        <v>0.25</v>
      </c>
      <c r="M384" s="821"/>
      <c r="N384" s="801"/>
      <c r="O384" s="822"/>
      <c r="P384" s="822"/>
      <c r="Q384" s="822"/>
      <c r="R384" s="822"/>
      <c r="S384" s="822"/>
      <c r="T384" s="822"/>
      <c r="U384" s="822"/>
      <c r="V384" s="822"/>
      <c r="W384" s="822"/>
      <c r="X384" s="822"/>
      <c r="Y384" s="823"/>
      <c r="Z384" s="823"/>
      <c r="AA384" s="823"/>
    </row>
    <row r="385" spans="1:33" x14ac:dyDescent="0.25">
      <c r="A385" s="1035">
        <v>376</v>
      </c>
      <c r="B385" s="1035" t="s">
        <v>49</v>
      </c>
      <c r="C385" s="1035" t="s">
        <v>146</v>
      </c>
      <c r="I385" s="913"/>
      <c r="J385" s="848"/>
      <c r="K385" s="783"/>
      <c r="L385" s="850">
        <f t="shared" si="18"/>
        <v>0.31</v>
      </c>
      <c r="M385" s="776"/>
      <c r="N385" s="801"/>
      <c r="O385" s="822"/>
      <c r="P385" s="822"/>
      <c r="Q385" s="822"/>
      <c r="R385" s="822"/>
      <c r="S385" s="822"/>
      <c r="T385" s="822"/>
      <c r="U385" s="822"/>
      <c r="V385" s="822"/>
      <c r="W385" s="822"/>
      <c r="X385" s="822"/>
      <c r="Y385" s="823"/>
      <c r="Z385" s="823"/>
      <c r="AA385" s="823"/>
    </row>
    <row r="386" spans="1:33" ht="15.75" thickBot="1" x14ac:dyDescent="0.3">
      <c r="A386" s="1035">
        <v>377</v>
      </c>
      <c r="B386" s="1035" t="s">
        <v>49</v>
      </c>
      <c r="C386" s="1035" t="s">
        <v>146</v>
      </c>
      <c r="D386" s="1117" t="s">
        <v>351</v>
      </c>
      <c r="E386" s="1118" t="s">
        <v>352</v>
      </c>
      <c r="F386" s="1118" t="s">
        <v>353</v>
      </c>
      <c r="G386" s="1118" t="s">
        <v>354</v>
      </c>
      <c r="H386" s="1118" t="s">
        <v>355</v>
      </c>
      <c r="I386" s="913"/>
      <c r="J386" s="848"/>
      <c r="K386" s="851"/>
      <c r="L386" s="850">
        <f t="shared" si="18"/>
        <v>0.38</v>
      </c>
      <c r="M386" s="776"/>
      <c r="N386" s="801"/>
      <c r="O386" s="822"/>
      <c r="P386" s="822"/>
      <c r="Q386" s="822"/>
      <c r="R386" s="822"/>
      <c r="S386" s="822"/>
      <c r="T386" s="822"/>
      <c r="U386" s="822"/>
      <c r="V386" s="822"/>
      <c r="W386" s="822"/>
      <c r="X386" s="822"/>
      <c r="Y386" s="823"/>
      <c r="Z386" s="823"/>
      <c r="AA386" s="823"/>
    </row>
    <row r="387" spans="1:33" ht="15.75" thickBot="1" x14ac:dyDescent="0.3">
      <c r="A387" s="1035">
        <v>378</v>
      </c>
      <c r="B387" s="1035" t="s">
        <v>49</v>
      </c>
      <c r="C387" s="1035" t="s">
        <v>146</v>
      </c>
      <c r="D387" s="506" t="s">
        <v>1279</v>
      </c>
      <c r="E387" s="1093" t="s">
        <v>360</v>
      </c>
      <c r="F387" s="1139">
        <f>E383</f>
        <v>12</v>
      </c>
      <c r="G387" s="1139">
        <f>IF(E387=AIS_Yes,L391,0)*IF(U387=AIS_No,1,IF(H387=AA387,R387,IF(H387=AB387,S387,IF(H387=AC387,T387,1))))</f>
        <v>0</v>
      </c>
      <c r="H387" s="1329" t="s">
        <v>16</v>
      </c>
      <c r="I387" s="913"/>
      <c r="J387" s="848"/>
      <c r="K387" s="851"/>
      <c r="L387" s="850">
        <f t="shared" si="18"/>
        <v>0.45</v>
      </c>
      <c r="M387" s="776"/>
      <c r="N387" s="801"/>
      <c r="O387" s="1266">
        <v>1</v>
      </c>
      <c r="P387" s="1266">
        <v>0</v>
      </c>
      <c r="Q387" s="1267">
        <v>1</v>
      </c>
      <c r="R387" s="1258" t="str">
        <f t="shared" ref="R387" si="19">IF($T$4=AIS_Yes,O387,AIS_NA)</f>
        <v>N/A</v>
      </c>
      <c r="S387" s="1259" t="str">
        <f t="shared" ref="S387" si="20">IF($T$4=AIS_Yes,P387,AIS_NA)</f>
        <v>N/A</v>
      </c>
      <c r="T387" s="1074" t="str">
        <f t="shared" ref="T387" si="21">IF($T$4=AIS_Yes,Q387,AIS_NA)</f>
        <v>N/A</v>
      </c>
      <c r="U387" s="1265" t="str">
        <f>IF(AND($T$4=AIS_Yes,OR(R387&lt;&gt;AIS_NA,S387&lt;&gt;AIS_NA,T387&lt;&gt;AIS_NA)),AIS_Yes,AIS_No)</f>
        <v>No</v>
      </c>
      <c r="V387" s="1258" t="str">
        <f>AIS_option01</f>
        <v>N/A</v>
      </c>
      <c r="W387" s="1259" t="str">
        <f>AIS_option02a</f>
        <v>N/A</v>
      </c>
      <c r="X387" s="1272" t="str">
        <f>AIS_option03</f>
        <v>N/A</v>
      </c>
      <c r="Y387" s="1273"/>
      <c r="Z387" s="1282"/>
      <c r="AA387" s="1274" t="str">
        <f>IF(U387=AIS_Yes,V387,AIS_NA)</f>
        <v>N/A</v>
      </c>
      <c r="AB387" s="1274" t="str">
        <f>IF(U387=AIS_Yes,W387,AIS_NA)</f>
        <v>N/A</v>
      </c>
      <c r="AC387" s="1275" t="str">
        <f>IF(U387=AIS_Yes,X387,AIS_NA)</f>
        <v>N/A</v>
      </c>
      <c r="AD387" s="1276" t="str">
        <f>C387</f>
        <v>Ene 01</v>
      </c>
      <c r="AE387" s="1262" t="str">
        <f>D382</f>
        <v>Energy efficiency</v>
      </c>
      <c r="AF387" s="1263" t="str">
        <f>H387</f>
        <v>N/A</v>
      </c>
      <c r="AG387" s="928">
        <f>IF(U387=AIS_No,1,IF(H387=AA387,R387,IF(H387=AB387,S387,IF(H387=AC387,T387,1))))</f>
        <v>1</v>
      </c>
    </row>
    <row r="388" spans="1:33" ht="15.75" thickBot="1" x14ac:dyDescent="0.3">
      <c r="A388" s="1035">
        <v>379</v>
      </c>
      <c r="B388" s="1035" t="s">
        <v>49</v>
      </c>
      <c r="C388" s="1035" t="s">
        <v>146</v>
      </c>
      <c r="D388" s="1123" t="s">
        <v>811</v>
      </c>
      <c r="E388" s="1171" t="s">
        <v>545</v>
      </c>
      <c r="F388" s="1140"/>
      <c r="G388" s="1140"/>
      <c r="H388" s="1330"/>
      <c r="I388" s="913"/>
      <c r="J388" s="848"/>
      <c r="K388" s="851"/>
      <c r="L388" s="850">
        <f t="shared" si="18"/>
        <v>0.55000000000000004</v>
      </c>
      <c r="M388" s="776"/>
      <c r="N388" s="801"/>
      <c r="O388" s="822"/>
      <c r="P388" s="822"/>
      <c r="Q388" s="822"/>
      <c r="R388" s="822"/>
      <c r="S388" s="822"/>
      <c r="T388" s="822"/>
      <c r="U388" s="822" t="str">
        <f>U387</f>
        <v>No</v>
      </c>
      <c r="V388" s="822"/>
      <c r="W388" s="822"/>
      <c r="X388" s="822"/>
      <c r="Y388" s="823"/>
      <c r="Z388" s="823"/>
      <c r="AA388" s="823"/>
    </row>
    <row r="389" spans="1:33" x14ac:dyDescent="0.25">
      <c r="A389" s="1035">
        <v>380</v>
      </c>
      <c r="B389" s="1035" t="s">
        <v>49</v>
      </c>
      <c r="C389" s="1035" t="s">
        <v>146</v>
      </c>
      <c r="D389" s="1170"/>
      <c r="E389" s="1170"/>
      <c r="F389" s="1170"/>
      <c r="G389" s="1170"/>
      <c r="H389" s="1170"/>
      <c r="I389" s="913"/>
      <c r="J389" s="848"/>
      <c r="K389" s="851"/>
      <c r="L389" s="850">
        <f t="shared" si="18"/>
        <v>0.7</v>
      </c>
      <c r="M389" s="776"/>
      <c r="N389" s="801"/>
      <c r="O389" s="822"/>
      <c r="P389" s="822"/>
      <c r="Q389" s="822"/>
      <c r="R389" s="822"/>
      <c r="S389" s="822"/>
      <c r="T389" s="822"/>
      <c r="U389" s="822"/>
      <c r="V389" s="822"/>
      <c r="W389" s="822"/>
      <c r="X389" s="822"/>
      <c r="Y389" s="823"/>
      <c r="Z389" s="823"/>
      <c r="AA389" s="823"/>
    </row>
    <row r="390" spans="1:33" ht="15.75" thickBot="1" x14ac:dyDescent="0.3">
      <c r="A390" s="1035">
        <v>381</v>
      </c>
      <c r="B390" s="1035" t="s">
        <v>49</v>
      </c>
      <c r="C390" s="1035" t="s">
        <v>146</v>
      </c>
      <c r="D390" s="1117" t="s">
        <v>393</v>
      </c>
      <c r="E390" s="1118"/>
      <c r="I390" s="913"/>
      <c r="J390" s="848"/>
      <c r="K390" s="851"/>
      <c r="L390" s="852">
        <f t="shared" si="18"/>
        <v>0.85</v>
      </c>
      <c r="M390" s="776"/>
      <c r="N390" s="801"/>
      <c r="O390" s="822"/>
      <c r="P390" s="822"/>
      <c r="Q390" s="822"/>
      <c r="R390" s="822"/>
      <c r="S390" s="822"/>
      <c r="T390" s="822"/>
      <c r="U390" s="822"/>
      <c r="V390" s="822"/>
      <c r="W390" s="822"/>
      <c r="X390" s="822"/>
      <c r="Y390" s="823"/>
      <c r="Z390" s="823"/>
      <c r="AA390" s="823"/>
    </row>
    <row r="391" spans="1:33" ht="15.75" thickBot="1" x14ac:dyDescent="0.3">
      <c r="A391" s="1035">
        <v>382</v>
      </c>
      <c r="B391" s="1035" t="s">
        <v>49</v>
      </c>
      <c r="C391" s="1035" t="s">
        <v>146</v>
      </c>
      <c r="D391" s="1119" t="s">
        <v>1093</v>
      </c>
      <c r="E391" s="1091"/>
      <c r="F391" s="768" t="str">
        <f>IF(OR(E387=AIS_No,E387=AIS_PS),"","kWh/m2yr")</f>
        <v/>
      </c>
      <c r="G391" s="769"/>
      <c r="I391" s="913"/>
      <c r="J391" s="848"/>
      <c r="K391" s="851"/>
      <c r="L391" s="853">
        <f>IF(E388=Options!Q3,0,IF(E388&lt;L379,0,IF(E388&lt;L380,1,IF(E388&lt;L381,2,IF(E388&lt;L382,3,IF(E388&lt;L383,4,IF(E388&lt;L384,5,IF(E388&lt;L385,6,IF(E388&lt;L386,7,IF(E388&lt;L387,8,IF(E388&lt;L388,9,IF(E388&lt;L389,10,IF(E388&lt;L390,11,12)))))))))))))</f>
        <v>0</v>
      </c>
      <c r="M391" s="776"/>
      <c r="N391" s="801"/>
      <c r="O391" s="822"/>
      <c r="P391" s="822"/>
      <c r="Q391" s="822"/>
      <c r="R391" s="822"/>
      <c r="S391" s="822"/>
      <c r="T391" s="822"/>
      <c r="U391" s="822"/>
      <c r="V391" s="822"/>
      <c r="W391" s="822"/>
      <c r="X391" s="822"/>
      <c r="Y391" s="823"/>
      <c r="Z391" s="823"/>
      <c r="AA391" s="823"/>
    </row>
    <row r="392" spans="1:33" ht="15.75" thickBot="1" x14ac:dyDescent="0.3">
      <c r="A392" s="1035">
        <v>383</v>
      </c>
      <c r="B392" s="1035" t="s">
        <v>49</v>
      </c>
      <c r="C392" s="1035" t="s">
        <v>146</v>
      </c>
      <c r="D392" s="1123" t="s">
        <v>1094</v>
      </c>
      <c r="E392" s="1092"/>
      <c r="F392" s="768" t="str">
        <f>IF(OR(E387=AIS_No,E387=AIS_PS),"","kWh/m2yr")</f>
        <v/>
      </c>
      <c r="G392" s="769"/>
      <c r="I392" s="913"/>
      <c r="J392" s="848"/>
      <c r="K392" s="851"/>
      <c r="L392" s="820"/>
      <c r="M392" s="776"/>
      <c r="N392" s="801"/>
      <c r="O392" s="822"/>
      <c r="P392" s="822"/>
      <c r="Q392" s="822"/>
      <c r="R392" s="822"/>
      <c r="S392" s="822"/>
      <c r="T392" s="822"/>
      <c r="U392" s="822"/>
      <c r="V392" s="822"/>
      <c r="W392" s="822"/>
      <c r="X392" s="822"/>
      <c r="Y392" s="823"/>
      <c r="Z392" s="823"/>
      <c r="AA392" s="823"/>
    </row>
    <row r="393" spans="1:33" x14ac:dyDescent="0.25">
      <c r="A393" s="1035">
        <v>384</v>
      </c>
      <c r="B393" s="1035" t="s">
        <v>49</v>
      </c>
      <c r="C393" s="1035" t="s">
        <v>146</v>
      </c>
      <c r="I393" s="913"/>
      <c r="J393" s="848"/>
      <c r="K393" s="854"/>
      <c r="L393" s="828" t="s">
        <v>812</v>
      </c>
      <c r="M393" s="855" t="s">
        <v>11</v>
      </c>
      <c r="N393" s="801"/>
      <c r="O393" s="822"/>
      <c r="P393" s="822"/>
      <c r="Q393" s="822"/>
      <c r="R393" s="822"/>
      <c r="S393" s="822"/>
      <c r="T393" s="822"/>
      <c r="U393" s="822"/>
      <c r="V393" s="822"/>
      <c r="W393" s="822"/>
      <c r="X393" s="822"/>
      <c r="Y393" s="823"/>
      <c r="Z393" s="823"/>
      <c r="AA393" s="823"/>
    </row>
    <row r="394" spans="1:33" x14ac:dyDescent="0.25">
      <c r="A394" s="1035">
        <v>385</v>
      </c>
      <c r="B394" s="1035" t="s">
        <v>49</v>
      </c>
      <c r="C394" s="1035" t="s">
        <v>146</v>
      </c>
      <c r="D394" s="1127" t="s">
        <v>356</v>
      </c>
      <c r="E394" s="1128">
        <f>G387</f>
        <v>0</v>
      </c>
      <c r="I394" s="1029"/>
      <c r="J394" s="848"/>
      <c r="K394" s="854"/>
      <c r="L394" s="856">
        <v>0.05</v>
      </c>
      <c r="M394" s="857">
        <v>0.04</v>
      </c>
      <c r="N394" s="801"/>
      <c r="O394" s="822"/>
      <c r="P394" s="822"/>
      <c r="Q394" s="822"/>
      <c r="R394" s="822"/>
      <c r="S394" s="822"/>
      <c r="T394" s="822"/>
      <c r="U394" s="822"/>
      <c r="V394" s="822"/>
      <c r="W394" s="822"/>
      <c r="X394" s="822"/>
      <c r="Y394" s="823"/>
      <c r="Z394" s="823"/>
      <c r="AA394" s="823"/>
    </row>
    <row r="395" spans="1:33" x14ac:dyDescent="0.25">
      <c r="A395" s="1035">
        <v>386</v>
      </c>
      <c r="B395" s="1035" t="s">
        <v>49</v>
      </c>
      <c r="C395" s="1035" t="s">
        <v>146</v>
      </c>
      <c r="D395" s="1129" t="s">
        <v>86</v>
      </c>
      <c r="E395" s="1130">
        <f>Ene01_42</f>
        <v>0</v>
      </c>
      <c r="I395" s="913"/>
      <c r="J395" s="848"/>
      <c r="K395" s="854"/>
      <c r="L395" s="856">
        <v>7.0000000000000007E-2</v>
      </c>
      <c r="M395" s="857">
        <v>0.06</v>
      </c>
      <c r="N395" s="801"/>
      <c r="O395" s="822"/>
      <c r="P395" s="822"/>
      <c r="Q395" s="822"/>
      <c r="R395" s="822"/>
      <c r="S395" s="822"/>
      <c r="T395" s="822"/>
      <c r="U395" s="822"/>
      <c r="V395" s="822"/>
      <c r="W395" s="822"/>
      <c r="X395" s="822"/>
      <c r="Y395" s="823"/>
      <c r="Z395" s="823"/>
      <c r="AA395" s="823"/>
    </row>
    <row r="396" spans="1:33" x14ac:dyDescent="0.25">
      <c r="A396" s="1035">
        <v>387</v>
      </c>
      <c r="B396" s="1035" t="s">
        <v>49</v>
      </c>
      <c r="C396" s="1035" t="s">
        <v>146</v>
      </c>
      <c r="D396" s="1131" t="s">
        <v>357</v>
      </c>
      <c r="E396" s="1128" t="s">
        <v>16</v>
      </c>
      <c r="I396" s="913"/>
      <c r="J396" s="848"/>
      <c r="K396" s="854"/>
      <c r="L396" s="856">
        <v>0.11</v>
      </c>
      <c r="M396" s="857">
        <v>0.08</v>
      </c>
      <c r="N396" s="801"/>
      <c r="O396" s="822"/>
      <c r="P396" s="822"/>
      <c r="Q396" s="822"/>
      <c r="R396" s="822"/>
      <c r="S396" s="822"/>
      <c r="T396" s="822"/>
      <c r="U396" s="822"/>
      <c r="V396" s="822"/>
      <c r="W396" s="822"/>
      <c r="X396" s="822"/>
      <c r="Y396" s="823"/>
      <c r="Z396" s="823"/>
      <c r="AA396" s="823"/>
    </row>
    <row r="397" spans="1:33" x14ac:dyDescent="0.25">
      <c r="A397" s="1035">
        <v>388</v>
      </c>
      <c r="B397" s="1035" t="s">
        <v>49</v>
      </c>
      <c r="C397" s="1035" t="s">
        <v>146</v>
      </c>
      <c r="D397" s="1132" t="s">
        <v>55</v>
      </c>
      <c r="E397" s="1133" t="str">
        <f>Ene01_28</f>
        <v>Very Good</v>
      </c>
      <c r="F397" s="1134"/>
      <c r="G397" s="1135"/>
      <c r="I397" s="913"/>
      <c r="J397" s="848"/>
      <c r="K397" s="854"/>
      <c r="L397" s="856">
        <v>0.15</v>
      </c>
      <c r="M397" s="857">
        <v>0.1</v>
      </c>
      <c r="N397" s="801"/>
      <c r="O397" s="822"/>
      <c r="P397" s="822"/>
      <c r="Q397" s="822"/>
      <c r="R397" s="822"/>
      <c r="S397" s="822"/>
      <c r="T397" s="822"/>
      <c r="U397" s="822"/>
      <c r="V397" s="822"/>
      <c r="W397" s="822"/>
      <c r="X397" s="822"/>
      <c r="Y397" s="823"/>
      <c r="Z397" s="823"/>
      <c r="AA397" s="823"/>
    </row>
    <row r="398" spans="1:33" x14ac:dyDescent="0.25">
      <c r="A398" s="1035">
        <v>389</v>
      </c>
      <c r="B398" s="1035" t="s">
        <v>49</v>
      </c>
      <c r="C398" s="1035" t="s">
        <v>146</v>
      </c>
      <c r="I398" s="913"/>
      <c r="J398" s="848"/>
      <c r="K398" s="783"/>
      <c r="L398" s="856">
        <v>0.19</v>
      </c>
      <c r="M398" s="857">
        <v>0.13</v>
      </c>
      <c r="N398" s="801"/>
      <c r="O398" s="822"/>
      <c r="P398" s="822"/>
      <c r="Q398" s="822"/>
      <c r="R398" s="822"/>
      <c r="S398" s="822"/>
      <c r="T398" s="822"/>
      <c r="U398" s="822"/>
      <c r="V398" s="822"/>
      <c r="W398" s="822"/>
      <c r="X398" s="822"/>
      <c r="Y398" s="823"/>
      <c r="Z398" s="823"/>
      <c r="AA398" s="823"/>
    </row>
    <row r="399" spans="1:33" x14ac:dyDescent="0.25">
      <c r="A399" s="1035">
        <v>390</v>
      </c>
      <c r="B399" s="1035" t="s">
        <v>49</v>
      </c>
      <c r="C399" s="1035" t="s">
        <v>146</v>
      </c>
      <c r="D399" s="1136" t="s">
        <v>359</v>
      </c>
      <c r="E399" s="1136" t="s">
        <v>977</v>
      </c>
      <c r="F399" s="1136" t="str">
        <f>HLOOKUP(C399,'Assessment References'!$H$512:$BG$513,2,FALSE)</f>
        <v/>
      </c>
      <c r="G399" s="1137"/>
      <c r="H399" s="1138"/>
      <c r="I399" s="913"/>
      <c r="J399" s="848"/>
      <c r="K399" s="783"/>
      <c r="L399" s="856">
        <v>0.25</v>
      </c>
      <c r="M399" s="857">
        <v>0.16</v>
      </c>
      <c r="N399" s="801"/>
      <c r="O399" s="822"/>
      <c r="P399" s="822"/>
      <c r="Q399" s="822"/>
      <c r="R399" s="822"/>
      <c r="S399" s="822"/>
      <c r="T399" s="822"/>
      <c r="U399" s="822"/>
      <c r="V399" s="822"/>
      <c r="W399" s="822"/>
      <c r="X399" s="822"/>
      <c r="Y399" s="823"/>
      <c r="Z399" s="823"/>
      <c r="AA399" s="823"/>
    </row>
    <row r="400" spans="1:33" x14ac:dyDescent="0.25">
      <c r="A400" s="1035">
        <v>391</v>
      </c>
      <c r="B400" s="1035" t="s">
        <v>49</v>
      </c>
      <c r="C400" s="1035" t="s">
        <v>146</v>
      </c>
      <c r="D400" s="1363"/>
      <c r="E400" s="1352"/>
      <c r="F400" s="1352"/>
      <c r="G400" s="1352"/>
      <c r="H400" s="1353"/>
      <c r="I400" s="913"/>
      <c r="J400" s="848"/>
      <c r="K400" s="783"/>
      <c r="L400" s="856">
        <v>0.31</v>
      </c>
      <c r="M400" s="857">
        <v>0.19</v>
      </c>
      <c r="N400" s="801"/>
      <c r="O400" s="822"/>
      <c r="P400" s="822"/>
      <c r="Q400" s="822"/>
      <c r="R400" s="822"/>
      <c r="S400" s="822"/>
      <c r="T400" s="822"/>
      <c r="U400" s="822"/>
      <c r="V400" s="822"/>
      <c r="W400" s="822"/>
      <c r="X400" s="822"/>
      <c r="Y400" s="823"/>
      <c r="Z400" s="823"/>
      <c r="AA400" s="823"/>
    </row>
    <row r="401" spans="1:35" x14ac:dyDescent="0.25">
      <c r="A401" s="1035">
        <v>392</v>
      </c>
      <c r="B401" s="1035" t="s">
        <v>49</v>
      </c>
      <c r="C401" s="1035" t="s">
        <v>146</v>
      </c>
      <c r="D401" s="1354"/>
      <c r="E401" s="1355"/>
      <c r="F401" s="1355"/>
      <c r="G401" s="1355"/>
      <c r="H401" s="1356"/>
      <c r="I401" s="913"/>
      <c r="J401" s="848"/>
      <c r="K401" s="783"/>
      <c r="L401" s="856">
        <v>0.38</v>
      </c>
      <c r="M401" s="857">
        <v>0.23</v>
      </c>
      <c r="N401" s="801"/>
      <c r="O401" s="822"/>
      <c r="P401" s="822"/>
      <c r="Q401" s="822"/>
      <c r="R401" s="822"/>
      <c r="S401" s="822"/>
      <c r="T401" s="822"/>
      <c r="U401" s="822"/>
      <c r="V401" s="822"/>
      <c r="W401" s="822"/>
      <c r="X401" s="822"/>
      <c r="Y401" s="823"/>
      <c r="Z401" s="823"/>
      <c r="AA401" s="823"/>
    </row>
    <row r="402" spans="1:35" x14ac:dyDescent="0.25">
      <c r="A402" s="1035">
        <v>393</v>
      </c>
      <c r="B402" s="1035" t="s">
        <v>49</v>
      </c>
      <c r="C402" s="1035" t="s">
        <v>146</v>
      </c>
      <c r="D402" s="1354"/>
      <c r="E402" s="1355"/>
      <c r="F402" s="1355"/>
      <c r="G402" s="1355"/>
      <c r="H402" s="1356"/>
      <c r="I402" s="913"/>
      <c r="J402" s="848"/>
      <c r="K402" s="783"/>
      <c r="L402" s="856">
        <v>0.45</v>
      </c>
      <c r="M402" s="857">
        <v>0.3</v>
      </c>
      <c r="N402" s="801"/>
      <c r="O402" s="822"/>
      <c r="P402" s="822"/>
      <c r="Q402" s="822"/>
      <c r="R402" s="822"/>
      <c r="S402" s="822"/>
      <c r="T402" s="822"/>
      <c r="U402" s="822"/>
      <c r="V402" s="822"/>
      <c r="W402" s="822"/>
      <c r="X402" s="822"/>
      <c r="Y402" s="823"/>
      <c r="Z402" s="823"/>
      <c r="AA402" s="823"/>
    </row>
    <row r="403" spans="1:35" x14ac:dyDescent="0.25">
      <c r="A403" s="1035">
        <v>394</v>
      </c>
      <c r="B403" s="1035" t="s">
        <v>49</v>
      </c>
      <c r="C403" s="1035" t="s">
        <v>146</v>
      </c>
      <c r="D403" s="1364"/>
      <c r="E403" s="1358"/>
      <c r="F403" s="1358"/>
      <c r="G403" s="1358"/>
      <c r="H403" s="1359"/>
      <c r="I403" s="913"/>
      <c r="J403" s="848"/>
      <c r="K403" s="783"/>
      <c r="L403" s="856">
        <v>0.55000000000000004</v>
      </c>
      <c r="M403" s="857">
        <v>0.42</v>
      </c>
      <c r="N403" s="801"/>
      <c r="O403" s="822"/>
      <c r="P403" s="822"/>
      <c r="Q403" s="822"/>
      <c r="R403" s="822"/>
      <c r="S403" s="822"/>
      <c r="T403" s="822"/>
      <c r="U403" s="822"/>
      <c r="V403" s="822"/>
      <c r="W403" s="822"/>
      <c r="X403" s="822"/>
      <c r="Y403" s="823"/>
      <c r="Z403" s="823"/>
      <c r="AA403" s="823"/>
    </row>
    <row r="404" spans="1:35" x14ac:dyDescent="0.25">
      <c r="A404" s="1035">
        <v>395</v>
      </c>
      <c r="B404" s="1035" t="s">
        <v>49</v>
      </c>
      <c r="C404" s="1035" t="s">
        <v>146</v>
      </c>
      <c r="D404" s="1364"/>
      <c r="E404" s="1358"/>
      <c r="F404" s="1358"/>
      <c r="G404" s="1358"/>
      <c r="H404" s="1359"/>
      <c r="I404" s="913"/>
      <c r="J404" s="848"/>
      <c r="K404" s="783"/>
      <c r="L404" s="856">
        <v>0.7</v>
      </c>
      <c r="M404" s="857">
        <v>0.6</v>
      </c>
      <c r="N404" s="801"/>
      <c r="O404" s="822"/>
      <c r="P404" s="822"/>
      <c r="Q404" s="822"/>
      <c r="R404" s="822"/>
      <c r="S404" s="822"/>
      <c r="T404" s="822"/>
      <c r="U404" s="822"/>
      <c r="V404" s="822"/>
      <c r="W404" s="822"/>
      <c r="X404" s="822"/>
      <c r="Y404" s="823"/>
      <c r="Z404" s="823"/>
      <c r="AA404" s="823"/>
    </row>
    <row r="405" spans="1:35" ht="15.75" thickBot="1" x14ac:dyDescent="0.3">
      <c r="A405" s="1035">
        <v>396</v>
      </c>
      <c r="B405" s="1035" t="s">
        <v>49</v>
      </c>
      <c r="C405" s="1035" t="s">
        <v>146</v>
      </c>
      <c r="D405" s="1360"/>
      <c r="E405" s="1361"/>
      <c r="F405" s="1361"/>
      <c r="G405" s="1361"/>
      <c r="H405" s="1362"/>
      <c r="I405" s="913"/>
      <c r="J405" s="848"/>
      <c r="K405" s="783"/>
      <c r="L405" s="858">
        <v>0.85</v>
      </c>
      <c r="M405" s="859">
        <v>0.85</v>
      </c>
      <c r="N405" s="801"/>
      <c r="O405" s="822"/>
      <c r="P405" s="822"/>
      <c r="Q405" s="822"/>
      <c r="R405" s="822"/>
      <c r="S405" s="822"/>
      <c r="T405" s="822"/>
      <c r="U405" s="822"/>
      <c r="V405" s="822"/>
      <c r="W405" s="822"/>
      <c r="X405" s="822"/>
      <c r="Y405" s="823"/>
      <c r="Z405" s="823"/>
      <c r="AA405" s="823"/>
    </row>
    <row r="406" spans="1:35" ht="15.75" thickBot="1" x14ac:dyDescent="0.3">
      <c r="A406" s="1035">
        <v>397</v>
      </c>
      <c r="B406" s="1035" t="s">
        <v>49</v>
      </c>
      <c r="C406" s="1035" t="s">
        <v>146</v>
      </c>
      <c r="D406" s="1170"/>
      <c r="E406" s="1170"/>
      <c r="F406" s="1170"/>
      <c r="G406" s="1170"/>
      <c r="H406" s="1170"/>
      <c r="I406" s="913"/>
      <c r="J406" s="848"/>
      <c r="K406" s="783"/>
      <c r="L406" s="820"/>
      <c r="M406" s="821"/>
      <c r="N406" s="801"/>
      <c r="O406" s="822"/>
      <c r="P406" s="822"/>
      <c r="Q406" s="822"/>
      <c r="R406" s="822"/>
      <c r="S406" s="822"/>
      <c r="T406" s="822"/>
      <c r="U406" s="822"/>
      <c r="V406" s="822"/>
      <c r="W406" s="822"/>
      <c r="X406" s="822"/>
      <c r="Y406" s="823"/>
      <c r="Z406" s="823"/>
      <c r="AA406" s="823"/>
    </row>
    <row r="407" spans="1:35" x14ac:dyDescent="0.25">
      <c r="A407" s="1037">
        <v>398</v>
      </c>
      <c r="B407" s="1037" t="s">
        <v>49</v>
      </c>
      <c r="C407" s="827" t="s">
        <v>147</v>
      </c>
      <c r="D407" s="1157" t="s">
        <v>894</v>
      </c>
      <c r="E407" s="1158"/>
      <c r="F407" s="1158"/>
      <c r="G407" s="1159"/>
      <c r="H407" s="1159"/>
      <c r="I407" s="913"/>
      <c r="J407" s="848"/>
      <c r="K407" s="783"/>
      <c r="L407" s="809" t="str">
        <f>C407</f>
        <v>Ene 02</v>
      </c>
      <c r="M407" s="821"/>
      <c r="N407" s="801"/>
      <c r="O407" s="822"/>
      <c r="P407" s="822"/>
      <c r="Q407" s="822"/>
      <c r="R407" s="822"/>
      <c r="S407" s="822"/>
      <c r="T407" s="822"/>
      <c r="U407" s="822"/>
      <c r="V407" s="822"/>
      <c r="W407" s="822"/>
      <c r="X407" s="822"/>
      <c r="Y407" s="823"/>
      <c r="Z407" s="823"/>
      <c r="AA407" s="823"/>
    </row>
    <row r="408" spans="1:35" x14ac:dyDescent="0.25">
      <c r="A408" s="1035">
        <v>399</v>
      </c>
      <c r="B408" s="1035" t="s">
        <v>49</v>
      </c>
      <c r="C408" s="1035" t="s">
        <v>147</v>
      </c>
      <c r="D408" s="1107" t="s">
        <v>17</v>
      </c>
      <c r="E408" s="1108">
        <f>Ene02_credits</f>
        <v>3</v>
      </c>
      <c r="F408" s="1109"/>
      <c r="G408" s="1110" t="s">
        <v>85</v>
      </c>
      <c r="H408" s="1111">
        <f>Ene02_10</f>
        <v>2.5909090909090909E-2</v>
      </c>
      <c r="I408" s="913"/>
      <c r="J408" s="848"/>
      <c r="K408" s="783"/>
      <c r="L408" s="820" t="s">
        <v>1167</v>
      </c>
      <c r="M408" s="821"/>
      <c r="N408" s="801"/>
      <c r="O408" s="822"/>
      <c r="P408" s="822"/>
      <c r="Q408" s="822"/>
      <c r="R408" s="822"/>
      <c r="S408" s="822"/>
      <c r="T408" s="822"/>
      <c r="U408" s="822"/>
      <c r="V408" s="822"/>
      <c r="W408" s="822"/>
      <c r="X408" s="822"/>
      <c r="Y408" s="823"/>
      <c r="Z408" s="823"/>
      <c r="AA408" s="823"/>
    </row>
    <row r="409" spans="1:35" x14ac:dyDescent="0.25">
      <c r="A409" s="1035">
        <v>400</v>
      </c>
      <c r="B409" s="1035" t="s">
        <v>49</v>
      </c>
      <c r="C409" s="1035" t="s">
        <v>147</v>
      </c>
      <c r="D409" s="1112" t="s">
        <v>349</v>
      </c>
      <c r="E409" s="1113">
        <v>0</v>
      </c>
      <c r="F409" s="1114"/>
      <c r="G409" s="1115" t="s">
        <v>350</v>
      </c>
      <c r="H409" s="1116" t="s">
        <v>14</v>
      </c>
      <c r="I409" s="913"/>
      <c r="J409" s="848"/>
      <c r="K409" s="783"/>
      <c r="L409" s="820" t="str">
        <f>'Manuell filtrering og justering'!H2</f>
        <v>No</v>
      </c>
      <c r="M409" s="821"/>
      <c r="N409" s="801"/>
      <c r="O409" s="822"/>
      <c r="P409" s="822"/>
      <c r="Q409" s="822"/>
      <c r="R409" s="822"/>
      <c r="S409" s="822"/>
      <c r="T409" s="822"/>
      <c r="U409" s="822"/>
      <c r="V409" s="822"/>
      <c r="W409" s="822"/>
      <c r="X409" s="822"/>
      <c r="Y409" s="823"/>
      <c r="Z409" s="823"/>
      <c r="AA409" s="823"/>
    </row>
    <row r="410" spans="1:35" ht="17.25" customHeight="1" x14ac:dyDescent="0.25">
      <c r="A410" s="1035">
        <v>401</v>
      </c>
      <c r="B410" s="1035" t="s">
        <v>49</v>
      </c>
      <c r="C410" s="1035" t="s">
        <v>147</v>
      </c>
      <c r="I410" s="913"/>
      <c r="J410" s="848"/>
      <c r="K410" s="783"/>
      <c r="L410" s="820"/>
      <c r="M410" s="821"/>
      <c r="N410" s="1074" t="s">
        <v>272</v>
      </c>
      <c r="O410" s="822"/>
      <c r="P410" s="822"/>
      <c r="Q410" s="822"/>
      <c r="R410" s="822"/>
      <c r="S410" s="822"/>
      <c r="T410" s="822"/>
      <c r="U410" s="822"/>
      <c r="V410" s="822"/>
      <c r="W410" s="822"/>
      <c r="X410" s="822"/>
      <c r="Y410" s="823"/>
      <c r="Z410" s="823"/>
      <c r="AA410" s="823"/>
    </row>
    <row r="411" spans="1:35" ht="15.75" thickBot="1" x14ac:dyDescent="0.3">
      <c r="A411" s="1035">
        <v>402</v>
      </c>
      <c r="B411" s="1035" t="s">
        <v>49</v>
      </c>
      <c r="C411" s="1035" t="s">
        <v>147</v>
      </c>
      <c r="D411" s="1117" t="s">
        <v>531</v>
      </c>
      <c r="E411" s="1118" t="s">
        <v>352</v>
      </c>
      <c r="F411" s="1118" t="s">
        <v>353</v>
      </c>
      <c r="G411" s="1118" t="s">
        <v>354</v>
      </c>
      <c r="H411" s="1334" t="s">
        <v>355</v>
      </c>
      <c r="I411" s="913"/>
      <c r="J411" s="848"/>
      <c r="K411" s="783"/>
      <c r="L411" s="1073" t="str">
        <f>IF(L409='Manuell filtrering og justering'!I2,'Manuell filtrering og justering'!I30,"")</f>
        <v/>
      </c>
      <c r="M411" s="821"/>
      <c r="N411" s="1074" t="s">
        <v>1185</v>
      </c>
      <c r="O411" s="822"/>
      <c r="P411" s="822"/>
      <c r="Q411" s="822"/>
      <c r="R411" s="1076"/>
      <c r="S411" s="822"/>
      <c r="T411" s="822"/>
      <c r="U411" s="822"/>
      <c r="V411" s="822"/>
      <c r="W411" s="822"/>
      <c r="X411" s="822"/>
      <c r="Y411" s="823"/>
      <c r="Z411" s="823"/>
      <c r="AA411" s="823"/>
      <c r="AI411" s="768" t="s">
        <v>1293</v>
      </c>
    </row>
    <row r="412" spans="1:35" ht="15.75" thickBot="1" x14ac:dyDescent="0.3">
      <c r="A412" s="1035">
        <v>403</v>
      </c>
      <c r="B412" s="1035" t="s">
        <v>49</v>
      </c>
      <c r="C412" s="1035" t="s">
        <v>147</v>
      </c>
      <c r="D412" s="1119" t="s">
        <v>874</v>
      </c>
      <c r="E412" s="1093" t="s">
        <v>360</v>
      </c>
      <c r="F412" s="1120">
        <f>IF(L409=AIS_Yes,IF(L411=N410,1,0),IF(L377&lt;&gt;L378,1,0))</f>
        <v>1</v>
      </c>
      <c r="G412" s="1290">
        <f>IF(AND(E412=AIS_Yes,OR(E413=AIS_No,E413=AIS_PS)),F412,0)*IF(U412=AIS_No,1,IF(H412=AA412,R412,IF(H412=AB412,S412,IF(H412=AC412,T412,1))))</f>
        <v>0</v>
      </c>
      <c r="H412" s="1331" t="s">
        <v>16</v>
      </c>
      <c r="I412" s="1042" t="str">
        <f>IF(AND(F412=1,E412=AIS_Yes,E413=AIS_Yes),"Please select assessment criteria 1-3 or 4-7","")</f>
        <v/>
      </c>
      <c r="J412" s="848"/>
      <c r="K412" s="783"/>
      <c r="L412" s="820"/>
      <c r="M412" s="821"/>
      <c r="N412" s="801"/>
      <c r="O412" s="1266">
        <v>1</v>
      </c>
      <c r="P412" s="1266">
        <v>0.5</v>
      </c>
      <c r="Q412" s="1267">
        <v>1</v>
      </c>
      <c r="R412" s="1258" t="str">
        <f t="shared" ref="R412:R413" si="22">IF($T$4=AIS_Yes,O412,AIS_NA)</f>
        <v>N/A</v>
      </c>
      <c r="S412" s="1259" t="str">
        <f t="shared" ref="S412:S413" si="23">IF($T$4=AIS_Yes,P412,AIS_NA)</f>
        <v>N/A</v>
      </c>
      <c r="T412" s="1074" t="str">
        <f t="shared" ref="T412:T413" si="24">IF($T$4=AIS_Yes,Q412,AIS_NA)</f>
        <v>N/A</v>
      </c>
      <c r="U412" s="1265" t="str">
        <f>IF(AND(E411=AIS_Yes,E412=AIS_Yes),AIS_No,IF(AND($T$4=AIS_Yes,OR(R412&lt;&gt;AIS_NA,S412&lt;&gt;AIS_NA,T412&lt;&gt;AIS_NA)),AIS_Yes,AIS_No))</f>
        <v>No</v>
      </c>
      <c r="V412" s="1258" t="str">
        <f>AIS_option01</f>
        <v>N/A</v>
      </c>
      <c r="W412" s="1259" t="str">
        <f>AIS_option02_50</f>
        <v>Option 2: -50%</v>
      </c>
      <c r="X412" s="1272" t="str">
        <f>AIS_option03</f>
        <v>N/A</v>
      </c>
      <c r="Y412" s="1273"/>
      <c r="Z412" s="1282"/>
      <c r="AA412" s="1274" t="str">
        <f>IF(U412=AIS_Yes,V412,AIS_NA)</f>
        <v>N/A</v>
      </c>
      <c r="AB412" s="1274" t="str">
        <f>IF(U412=AIS_Yes,W412,AIS_NA)</f>
        <v>N/A</v>
      </c>
      <c r="AC412" s="1275" t="str">
        <f>IF(U412=AIS_Yes,X412,AIS_NA)</f>
        <v>N/A</v>
      </c>
      <c r="AD412" s="1276" t="str">
        <f t="shared" ref="AD412:AE414" si="25">C412</f>
        <v>Ene 02</v>
      </c>
      <c r="AE412" s="1262" t="str">
        <f t="shared" si="25"/>
        <v>Assessment criteria 1-3. Monitoring of major energy consuming systems</v>
      </c>
      <c r="AF412" s="1263" t="str">
        <f>H412</f>
        <v>N/A</v>
      </c>
      <c r="AG412" s="768">
        <f>IF(U412=AIS_No,1,IF(H412=AA412,R412,IF(H412=AB412,S412,IF(H412=AC412,T412,1))))</f>
        <v>1</v>
      </c>
      <c r="AI412" s="768">
        <f>IF(AND(E412=AIS_Yes,OR(E413=AIS_No,E413=AIS_PS)),F412,0)</f>
        <v>0</v>
      </c>
    </row>
    <row r="413" spans="1:35" ht="15.75" thickBot="1" x14ac:dyDescent="0.3">
      <c r="A413" s="1035">
        <v>404</v>
      </c>
      <c r="B413" s="1035" t="s">
        <v>49</v>
      </c>
      <c r="C413" s="1035" t="s">
        <v>147</v>
      </c>
      <c r="D413" s="1172" t="s">
        <v>875</v>
      </c>
      <c r="E413" s="1173" t="s">
        <v>360</v>
      </c>
      <c r="F413" s="1122">
        <f>IF(L409=AIS_Yes,IF(L411=N410,2,0),IF(L377&lt;&gt;L378,2,0))</f>
        <v>2</v>
      </c>
      <c r="G413" s="1291">
        <f>IF(AND(OR(E412=AIS_No,E412=AIS_PS),E413=AIS_Yes),F413,0)*IF(U413=AIS_No,1,IF(H413=AA413,R413,IF(H413=AB413,S413,IF(H413=AC413,T413,1))))</f>
        <v>0</v>
      </c>
      <c r="H413" s="1332" t="s">
        <v>16</v>
      </c>
      <c r="I413" s="1042"/>
      <c r="J413" s="848"/>
      <c r="K413" s="783"/>
      <c r="L413" s="820"/>
      <c r="M413" s="821"/>
      <c r="N413" s="801"/>
      <c r="O413" s="1266">
        <v>1</v>
      </c>
      <c r="P413" s="1266">
        <v>0.5</v>
      </c>
      <c r="Q413" s="1267">
        <v>1</v>
      </c>
      <c r="R413" s="1258" t="str">
        <f t="shared" si="22"/>
        <v>N/A</v>
      </c>
      <c r="S413" s="1259" t="str">
        <f t="shared" si="23"/>
        <v>N/A</v>
      </c>
      <c r="T413" s="1074" t="str">
        <f t="shared" si="24"/>
        <v>N/A</v>
      </c>
      <c r="U413" s="1265" t="str">
        <f>IF(AND(E412=AIS_Yes,E413=AIS_Yes),AIS_No,IF(AND($T$4=AIS_Yes,OR(R413&lt;&gt;AIS_NA,S413&lt;&gt;AIS_NA,T413&lt;&gt;AIS_NA)),AIS_Yes,AIS_No))</f>
        <v>No</v>
      </c>
      <c r="V413" s="1258" t="str">
        <f>AIS_option01</f>
        <v>N/A</v>
      </c>
      <c r="W413" s="1259" t="str">
        <f>AIS_option02_50</f>
        <v>Option 2: -50%</v>
      </c>
      <c r="X413" s="1272" t="str">
        <f>AIS_option03</f>
        <v>N/A</v>
      </c>
      <c r="Y413" s="1273"/>
      <c r="Z413" s="1282"/>
      <c r="AA413" s="1274" t="str">
        <f>IF(U413=AIS_Yes,V413,AIS_NA)</f>
        <v>N/A</v>
      </c>
      <c r="AB413" s="1274" t="str">
        <f>IF(U413=AIS_Yes,W413,AIS_NA)</f>
        <v>N/A</v>
      </c>
      <c r="AC413" s="1275" t="str">
        <f>IF(U413=AIS_Yes,X413,AIS_NA)</f>
        <v>N/A</v>
      </c>
      <c r="AD413" s="1276" t="str">
        <f t="shared" si="25"/>
        <v>Ene 02</v>
      </c>
      <c r="AE413" s="1262" t="str">
        <f t="shared" si="25"/>
        <v>Assessment criteria 4-7. Monitoring of major energy consuming systems</v>
      </c>
      <c r="AF413" s="1263" t="str">
        <f>H413</f>
        <v>N/A</v>
      </c>
      <c r="AG413" s="768">
        <f>IF(U413=AIS_No,1,IF(H413=AA413,R413,IF(H413=AB413,S413,IF(H413=AC413,T413,1))))</f>
        <v>1</v>
      </c>
      <c r="AI413" s="768">
        <f>IF(AND(OR(E412=AIS_No,E412=AIS_PS),E413=AIS_Yes),F413,0)</f>
        <v>0</v>
      </c>
    </row>
    <row r="414" spans="1:35" ht="15.75" thickBot="1" x14ac:dyDescent="0.3">
      <c r="A414" s="1035">
        <v>405</v>
      </c>
      <c r="B414" s="1035" t="s">
        <v>49</v>
      </c>
      <c r="C414" s="1035" t="s">
        <v>147</v>
      </c>
      <c r="D414" s="1123" t="s">
        <v>395</v>
      </c>
      <c r="E414" s="1092" t="s">
        <v>360</v>
      </c>
      <c r="F414" s="1140">
        <f>IF(L409=AIS_Yes,IF(L411=N410,1,0),IF(L377&lt;&gt;L378,1,0))</f>
        <v>1</v>
      </c>
      <c r="G414" s="1140">
        <f>IF(E414=AIS_Yes,F414,0)</f>
        <v>0</v>
      </c>
      <c r="H414" s="1321" t="s">
        <v>16</v>
      </c>
      <c r="I414" s="913"/>
      <c r="J414" s="848"/>
      <c r="K414" s="783"/>
      <c r="L414" s="1075" t="s">
        <v>1231</v>
      </c>
      <c r="M414" s="821"/>
      <c r="N414" s="801"/>
      <c r="O414" s="1266">
        <v>1</v>
      </c>
      <c r="P414" s="1266">
        <v>0.5</v>
      </c>
      <c r="Q414" s="1267">
        <v>1</v>
      </c>
      <c r="R414" s="1258" t="str">
        <f t="shared" ref="R414" si="26">IF($T$4=AIS_Yes,O414,AIS_NA)</f>
        <v>N/A</v>
      </c>
      <c r="S414" s="1259" t="str">
        <f t="shared" ref="S414" si="27">IF($T$4=AIS_Yes,P414,AIS_NA)</f>
        <v>N/A</v>
      </c>
      <c r="T414" s="1074" t="str">
        <f t="shared" ref="T414" si="28">IF($T$4=AIS_Yes,Q414,AIS_NA)</f>
        <v>N/A</v>
      </c>
      <c r="U414" s="1265" t="str">
        <f>IF(AND($T$4=AIS_Yes,OR(R414&lt;&gt;AIS_NA,S414&lt;&gt;AIS_NA,T414&lt;&gt;AIS_NA)),AIS_Yes,AIS_No)</f>
        <v>No</v>
      </c>
      <c r="V414" s="1258" t="s">
        <v>16</v>
      </c>
      <c r="W414" s="1259" t="s">
        <v>14</v>
      </c>
      <c r="X414" s="1272" t="s">
        <v>15</v>
      </c>
      <c r="Y414" s="1273"/>
      <c r="Z414" s="1282"/>
      <c r="AA414" s="1274" t="str">
        <f>IF(U414=AIS_Yes,V414,AIS_NA)</f>
        <v>N/A</v>
      </c>
      <c r="AB414" s="1274" t="str">
        <f>IF(U414=AIS_Yes,W414,AIS_NA)</f>
        <v>N/A</v>
      </c>
      <c r="AC414" s="1275" t="str">
        <f>IF(U414=AIS_Yes,X414,AIS_NA)</f>
        <v>N/A</v>
      </c>
      <c r="AD414" s="1276" t="str">
        <f t="shared" si="25"/>
        <v>Ene 02</v>
      </c>
      <c r="AE414" s="1262" t="str">
        <f t="shared" si="25"/>
        <v>Monitoring of energy use by tenancy or function area</v>
      </c>
      <c r="AF414" s="1263" t="str">
        <f>H414</f>
        <v>N/A</v>
      </c>
      <c r="AG414" s="768">
        <f>IF(U414=AIS_No,1,IF(H414=AA414,R414,IF(H414=AB414,S414,IF(H414=AC414,T414,1))))</f>
        <v>1</v>
      </c>
      <c r="AI414" s="768">
        <f>IF(E414=AIS_Yes,F414,0)</f>
        <v>0</v>
      </c>
    </row>
    <row r="415" spans="1:35" x14ac:dyDescent="0.25">
      <c r="A415" s="1035">
        <v>406</v>
      </c>
      <c r="B415" s="1035" t="s">
        <v>49</v>
      </c>
      <c r="C415" s="1035" t="s">
        <v>147</v>
      </c>
      <c r="I415" s="913"/>
      <c r="J415" s="848"/>
      <c r="K415" s="783"/>
      <c r="L415" s="820">
        <f>IF(L377=L378,(IF(G417+G418&gt;2,E408,G417+G418)),(IF(G412+G413+G414&gt;3,E408,G412+G413+G414)))</f>
        <v>0</v>
      </c>
      <c r="M415" s="821"/>
      <c r="N415" s="801"/>
      <c r="O415" s="822"/>
      <c r="P415" s="822"/>
      <c r="Q415" s="822"/>
      <c r="R415" s="822"/>
      <c r="S415" s="822"/>
      <c r="T415" s="822"/>
      <c r="U415" s="822"/>
      <c r="V415" s="822"/>
      <c r="W415" s="822"/>
      <c r="X415" s="822"/>
      <c r="Y415" s="823"/>
      <c r="Z415" s="823"/>
      <c r="AA415" s="823"/>
      <c r="AI415" s="768">
        <f>AI412+AI413+AI414</f>
        <v>0</v>
      </c>
    </row>
    <row r="416" spans="1:35" ht="15.75" thickBot="1" x14ac:dyDescent="0.3">
      <c r="A416" s="1035">
        <v>407</v>
      </c>
      <c r="B416" s="1035" t="s">
        <v>49</v>
      </c>
      <c r="C416" s="1035" t="s">
        <v>147</v>
      </c>
      <c r="D416" s="1117" t="s">
        <v>532</v>
      </c>
      <c r="E416" s="1118" t="s">
        <v>352</v>
      </c>
      <c r="F416" s="1118" t="s">
        <v>353</v>
      </c>
      <c r="G416" s="1118" t="s">
        <v>354</v>
      </c>
      <c r="H416" s="768" t="s">
        <v>355</v>
      </c>
      <c r="I416" s="913"/>
      <c r="J416" s="848"/>
      <c r="K416" s="783"/>
      <c r="L416" s="820"/>
      <c r="M416" s="821"/>
      <c r="N416" s="801"/>
      <c r="O416" s="822"/>
      <c r="P416" s="822"/>
      <c r="Q416" s="822"/>
      <c r="R416" s="822"/>
      <c r="S416" s="822"/>
      <c r="T416" s="822"/>
      <c r="U416" s="822"/>
      <c r="V416" s="822"/>
      <c r="W416" s="822"/>
      <c r="X416" s="822"/>
      <c r="Y416" s="823"/>
      <c r="Z416" s="823"/>
      <c r="AA416" s="823"/>
    </row>
    <row r="417" spans="1:27" x14ac:dyDescent="0.25">
      <c r="A417" s="1035">
        <v>408</v>
      </c>
      <c r="B417" s="1035" t="s">
        <v>49</v>
      </c>
      <c r="C417" s="1035" t="s">
        <v>147</v>
      </c>
      <c r="D417" s="1119" t="s">
        <v>813</v>
      </c>
      <c r="E417" s="1093" t="s">
        <v>360</v>
      </c>
      <c r="F417" s="1120">
        <f>IF(L409=AIS_Yes,IF(L411=N411,1,0),IF(L377=L378,1,0))</f>
        <v>0</v>
      </c>
      <c r="G417" s="1120">
        <f>IF(AND(E417=AIS_Yes,OR(E418=AIS_No,E418=AIS_PS)),F417,0)</f>
        <v>0</v>
      </c>
      <c r="H417" s="1331" t="s">
        <v>16</v>
      </c>
      <c r="I417" s="1042" t="str">
        <f>IF(AND(F417=1,E417=AIS_Yes,E418=AIS_Yes),"Please select electricity AND/OR primary fuel","")</f>
        <v/>
      </c>
      <c r="J417" s="848"/>
      <c r="K417" s="783"/>
      <c r="L417" s="1075" t="s">
        <v>1232</v>
      </c>
      <c r="M417" s="821"/>
      <c r="N417" s="801"/>
      <c r="O417" s="822"/>
      <c r="P417" s="822"/>
      <c r="Q417" s="822"/>
      <c r="R417" s="822"/>
      <c r="S417" s="822"/>
      <c r="T417" s="822"/>
      <c r="U417" s="822" t="str">
        <f>T4</f>
        <v>No</v>
      </c>
      <c r="V417" s="822"/>
      <c r="W417" s="822"/>
      <c r="X417" s="822"/>
      <c r="Y417" s="823"/>
      <c r="Z417" s="823"/>
      <c r="AA417" s="823"/>
    </row>
    <row r="418" spans="1:27" ht="15.75" thickBot="1" x14ac:dyDescent="0.3">
      <c r="A418" s="1035">
        <v>409</v>
      </c>
      <c r="B418" s="1035" t="s">
        <v>49</v>
      </c>
      <c r="C418" s="1035" t="s">
        <v>147</v>
      </c>
      <c r="D418" s="1123" t="s">
        <v>814</v>
      </c>
      <c r="E418" s="1092" t="s">
        <v>360</v>
      </c>
      <c r="F418" s="1140">
        <f>IF(L409=AIS_Yes,IF(L411=N411,E408,0),IF(L377=L378,E408,0))</f>
        <v>0</v>
      </c>
      <c r="G418" s="1124">
        <f>IF(AND(OR(E417=AIS_No,E417=AIS_PS),E418=AIS_Yes),F418,0)</f>
        <v>0</v>
      </c>
      <c r="H418" s="1321" t="s">
        <v>16</v>
      </c>
      <c r="I418" s="913"/>
      <c r="J418" s="848"/>
      <c r="K418" s="783"/>
      <c r="L418" s="820">
        <f>IF(L411=N411,(IF(G417+G418&gt;2,E408,G417+G418)),(IF(G412+G413+G414&gt;3,E408,G412+G413+G414)))</f>
        <v>0</v>
      </c>
      <c r="M418" s="821"/>
      <c r="N418" s="801"/>
      <c r="O418" s="822"/>
      <c r="P418" s="822"/>
      <c r="Q418" s="822"/>
      <c r="R418" s="822"/>
      <c r="S418" s="822"/>
      <c r="T418" s="822"/>
      <c r="U418" s="822" t="str">
        <f>T4</f>
        <v>No</v>
      </c>
      <c r="V418" s="822"/>
      <c r="W418" s="822"/>
      <c r="X418" s="822"/>
      <c r="Y418" s="823"/>
      <c r="Z418" s="823"/>
      <c r="AA418" s="823"/>
    </row>
    <row r="419" spans="1:27" x14ac:dyDescent="0.25">
      <c r="A419" s="1035">
        <v>410</v>
      </c>
      <c r="B419" s="1035" t="s">
        <v>49</v>
      </c>
      <c r="C419" s="1035" t="s">
        <v>147</v>
      </c>
      <c r="I419" s="913"/>
      <c r="J419" s="848"/>
      <c r="K419" s="783"/>
      <c r="L419" s="820"/>
      <c r="M419" s="821"/>
      <c r="N419" s="801"/>
      <c r="O419" s="822"/>
      <c r="P419" s="822"/>
      <c r="Q419" s="822"/>
      <c r="R419" s="822"/>
      <c r="S419" s="822"/>
      <c r="T419" s="822"/>
      <c r="U419" s="822"/>
      <c r="V419" s="822"/>
      <c r="W419" s="822"/>
      <c r="X419" s="822"/>
      <c r="Y419" s="823"/>
      <c r="Z419" s="823"/>
      <c r="AA419" s="823"/>
    </row>
    <row r="420" spans="1:27" x14ac:dyDescent="0.25">
      <c r="A420" s="1035">
        <v>411</v>
      </c>
      <c r="B420" s="1035" t="s">
        <v>49</v>
      </c>
      <c r="C420" s="1035" t="s">
        <v>147</v>
      </c>
      <c r="D420" s="1127" t="s">
        <v>356</v>
      </c>
      <c r="E420" s="1278">
        <f>IF(L409=AIS_Yes,L418,L415)</f>
        <v>0</v>
      </c>
      <c r="I420" s="1029"/>
      <c r="J420" s="848"/>
      <c r="K420" s="783"/>
      <c r="L420" s="820"/>
      <c r="M420" s="821"/>
      <c r="N420" s="801"/>
      <c r="O420" s="822"/>
      <c r="P420" s="822"/>
      <c r="Q420" s="822"/>
      <c r="R420" s="822"/>
      <c r="S420" s="822"/>
      <c r="T420" s="822"/>
      <c r="U420" s="822"/>
      <c r="V420" s="822"/>
      <c r="W420" s="822"/>
      <c r="X420" s="822"/>
      <c r="Y420" s="823"/>
      <c r="Z420" s="823"/>
      <c r="AA420" s="823"/>
    </row>
    <row r="421" spans="1:27" x14ac:dyDescent="0.25">
      <c r="A421" s="1035">
        <v>412</v>
      </c>
      <c r="B421" s="1035" t="s">
        <v>49</v>
      </c>
      <c r="C421" s="1035" t="s">
        <v>147</v>
      </c>
      <c r="D421" s="1129" t="s">
        <v>86</v>
      </c>
      <c r="E421" s="1130">
        <f>Ene02_13</f>
        <v>0</v>
      </c>
      <c r="I421" s="913"/>
      <c r="J421" s="848"/>
      <c r="K421" s="783"/>
      <c r="L421" s="820"/>
      <c r="M421" s="821"/>
      <c r="N421" s="801"/>
      <c r="O421" s="822"/>
      <c r="P421" s="822"/>
      <c r="Q421" s="822"/>
      <c r="R421" s="822"/>
      <c r="S421" s="822"/>
      <c r="T421" s="822"/>
      <c r="U421" s="822"/>
      <c r="V421" s="822"/>
      <c r="W421" s="822"/>
      <c r="X421" s="822"/>
      <c r="Y421" s="823"/>
      <c r="Z421" s="823"/>
      <c r="AA421" s="823"/>
    </row>
    <row r="422" spans="1:27" x14ac:dyDescent="0.25">
      <c r="A422" s="1035">
        <v>413</v>
      </c>
      <c r="B422" s="1035" t="s">
        <v>49</v>
      </c>
      <c r="C422" s="1035" t="s">
        <v>147</v>
      </c>
      <c r="D422" s="1131" t="s">
        <v>357</v>
      </c>
      <c r="E422" s="1128" t="s">
        <v>16</v>
      </c>
      <c r="I422" s="913"/>
      <c r="J422" s="848"/>
      <c r="K422" s="783"/>
      <c r="L422" s="820"/>
      <c r="M422" s="821"/>
      <c r="N422" s="801"/>
      <c r="O422" s="822"/>
      <c r="P422" s="822"/>
      <c r="Q422" s="822"/>
      <c r="R422" s="822"/>
      <c r="S422" s="822"/>
      <c r="T422" s="822"/>
      <c r="U422" s="822"/>
      <c r="V422" s="822"/>
      <c r="W422" s="822"/>
      <c r="X422" s="822"/>
      <c r="Y422" s="823"/>
      <c r="Z422" s="823"/>
      <c r="AA422" s="823"/>
    </row>
    <row r="423" spans="1:27" x14ac:dyDescent="0.25">
      <c r="A423" s="1035">
        <v>414</v>
      </c>
      <c r="B423" s="1035" t="s">
        <v>49</v>
      </c>
      <c r="C423" s="1035" t="s">
        <v>147</v>
      </c>
      <c r="D423" s="1132" t="s">
        <v>55</v>
      </c>
      <c r="E423" s="1133" t="str">
        <f>Ene02_12</f>
        <v>Good</v>
      </c>
      <c r="F423" s="1134"/>
      <c r="G423" s="1135"/>
      <c r="I423" s="913"/>
      <c r="J423" s="848"/>
      <c r="K423" s="783"/>
      <c r="L423" s="820"/>
      <c r="M423" s="821"/>
      <c r="N423" s="801"/>
      <c r="O423" s="822"/>
      <c r="P423" s="822"/>
      <c r="Q423" s="822"/>
      <c r="R423" s="822"/>
      <c r="S423" s="822"/>
      <c r="T423" s="822"/>
      <c r="U423" s="822"/>
      <c r="V423" s="822"/>
      <c r="W423" s="822"/>
      <c r="X423" s="822"/>
      <c r="Y423" s="823"/>
      <c r="Z423" s="823"/>
      <c r="AA423" s="823"/>
    </row>
    <row r="424" spans="1:27" x14ac:dyDescent="0.25">
      <c r="A424" s="1035">
        <v>415</v>
      </c>
      <c r="B424" s="1035" t="s">
        <v>49</v>
      </c>
      <c r="C424" s="1035" t="s">
        <v>147</v>
      </c>
      <c r="I424" s="913"/>
      <c r="J424" s="848"/>
      <c r="K424" s="783"/>
      <c r="L424" s="820"/>
      <c r="M424" s="821"/>
      <c r="N424" s="801"/>
      <c r="O424" s="822"/>
      <c r="P424" s="822"/>
      <c r="Q424" s="822"/>
      <c r="R424" s="822"/>
      <c r="S424" s="822"/>
      <c r="T424" s="822"/>
      <c r="U424" s="822"/>
      <c r="V424" s="822"/>
      <c r="W424" s="822"/>
      <c r="X424" s="822"/>
      <c r="Y424" s="823"/>
      <c r="Z424" s="823"/>
      <c r="AA424" s="823"/>
    </row>
    <row r="425" spans="1:27" x14ac:dyDescent="0.25">
      <c r="A425" s="1035">
        <v>416</v>
      </c>
      <c r="B425" s="1035" t="s">
        <v>49</v>
      </c>
      <c r="C425" s="1035" t="s">
        <v>147</v>
      </c>
      <c r="D425" s="1136" t="s">
        <v>359</v>
      </c>
      <c r="E425" s="1136" t="s">
        <v>977</v>
      </c>
      <c r="F425" s="1136" t="str">
        <f>HLOOKUP(C425,'Assessment References'!$H$512:$BG$513,2,FALSE)</f>
        <v/>
      </c>
      <c r="G425" s="1137"/>
      <c r="H425" s="1138"/>
      <c r="I425" s="913"/>
      <c r="J425" s="848"/>
      <c r="K425" s="783"/>
      <c r="L425" s="820"/>
      <c r="M425" s="821"/>
      <c r="N425" s="801"/>
      <c r="O425" s="822"/>
      <c r="P425" s="822"/>
      <c r="Q425" s="822"/>
      <c r="R425" s="822"/>
      <c r="S425" s="822"/>
      <c r="T425" s="822"/>
      <c r="U425" s="822"/>
      <c r="V425" s="822"/>
      <c r="W425" s="822"/>
      <c r="X425" s="822"/>
      <c r="Y425" s="823"/>
      <c r="Z425" s="823"/>
      <c r="AA425" s="823"/>
    </row>
    <row r="426" spans="1:27" x14ac:dyDescent="0.25">
      <c r="A426" s="1035">
        <v>417</v>
      </c>
      <c r="B426" s="1035" t="s">
        <v>49</v>
      </c>
      <c r="C426" s="1035" t="s">
        <v>147</v>
      </c>
      <c r="D426" s="1363"/>
      <c r="E426" s="1352"/>
      <c r="F426" s="1352"/>
      <c r="G426" s="1352"/>
      <c r="H426" s="1353"/>
      <c r="I426" s="913"/>
      <c r="J426" s="848"/>
      <c r="K426" s="783"/>
      <c r="L426" s="820"/>
      <c r="M426" s="821"/>
      <c r="N426" s="801"/>
      <c r="O426" s="822"/>
      <c r="P426" s="822"/>
      <c r="Q426" s="822"/>
      <c r="R426" s="822"/>
      <c r="S426" s="822"/>
      <c r="T426" s="822"/>
      <c r="U426" s="822"/>
      <c r="V426" s="822"/>
      <c r="W426" s="822"/>
      <c r="X426" s="822"/>
      <c r="Y426" s="823"/>
      <c r="Z426" s="823"/>
      <c r="AA426" s="823"/>
    </row>
    <row r="427" spans="1:27" x14ac:dyDescent="0.25">
      <c r="A427" s="1035">
        <v>418</v>
      </c>
      <c r="B427" s="1035" t="s">
        <v>49</v>
      </c>
      <c r="C427" s="1035" t="s">
        <v>147</v>
      </c>
      <c r="D427" s="1354"/>
      <c r="E427" s="1355"/>
      <c r="F427" s="1355"/>
      <c r="G427" s="1355"/>
      <c r="H427" s="1356"/>
      <c r="I427" s="913"/>
      <c r="J427" s="848"/>
      <c r="K427" s="783"/>
      <c r="L427" s="820"/>
      <c r="M427" s="821"/>
      <c r="N427" s="801"/>
      <c r="O427" s="822"/>
      <c r="P427" s="822"/>
      <c r="Q427" s="822"/>
      <c r="R427" s="822"/>
      <c r="S427" s="822"/>
      <c r="T427" s="822"/>
      <c r="U427" s="822"/>
      <c r="V427" s="822"/>
      <c r="W427" s="822"/>
      <c r="X427" s="822"/>
      <c r="Y427" s="823"/>
      <c r="Z427" s="823"/>
      <c r="AA427" s="823"/>
    </row>
    <row r="428" spans="1:27" x14ac:dyDescent="0.25">
      <c r="A428" s="1035">
        <v>419</v>
      </c>
      <c r="B428" s="1035" t="s">
        <v>49</v>
      </c>
      <c r="C428" s="1035" t="s">
        <v>147</v>
      </c>
      <c r="D428" s="1354"/>
      <c r="E428" s="1355"/>
      <c r="F428" s="1355"/>
      <c r="G428" s="1355"/>
      <c r="H428" s="1356"/>
      <c r="I428" s="913"/>
      <c r="J428" s="848"/>
      <c r="K428" s="783"/>
      <c r="L428" s="820"/>
      <c r="M428" s="821"/>
      <c r="N428" s="801"/>
      <c r="O428" s="822"/>
      <c r="P428" s="822"/>
      <c r="Q428" s="822"/>
      <c r="R428" s="822"/>
      <c r="S428" s="822"/>
      <c r="T428" s="822"/>
      <c r="U428" s="822"/>
      <c r="V428" s="822"/>
      <c r="W428" s="822"/>
      <c r="X428" s="822"/>
      <c r="Y428" s="823"/>
      <c r="Z428" s="823"/>
      <c r="AA428" s="823"/>
    </row>
    <row r="429" spans="1:27" x14ac:dyDescent="0.25">
      <c r="A429" s="1035">
        <v>420</v>
      </c>
      <c r="B429" s="1035" t="s">
        <v>49</v>
      </c>
      <c r="C429" s="1035" t="s">
        <v>147</v>
      </c>
      <c r="D429" s="1364"/>
      <c r="E429" s="1358"/>
      <c r="F429" s="1358"/>
      <c r="G429" s="1358"/>
      <c r="H429" s="1359"/>
      <c r="I429" s="913"/>
      <c r="J429" s="848"/>
      <c r="K429" s="783"/>
      <c r="L429" s="820"/>
      <c r="M429" s="821"/>
      <c r="N429" s="801"/>
      <c r="O429" s="822"/>
      <c r="P429" s="822"/>
      <c r="Q429" s="822"/>
      <c r="R429" s="822"/>
      <c r="S429" s="822"/>
      <c r="T429" s="822"/>
      <c r="U429" s="822"/>
      <c r="V429" s="822"/>
      <c r="W429" s="822"/>
      <c r="X429" s="822"/>
      <c r="Y429" s="823"/>
      <c r="Z429" s="823"/>
      <c r="AA429" s="823"/>
    </row>
    <row r="430" spans="1:27" x14ac:dyDescent="0.25">
      <c r="A430" s="1035">
        <v>421</v>
      </c>
      <c r="B430" s="1035" t="s">
        <v>49</v>
      </c>
      <c r="C430" s="1035" t="s">
        <v>147</v>
      </c>
      <c r="D430" s="1364"/>
      <c r="E430" s="1358"/>
      <c r="F430" s="1358"/>
      <c r="G430" s="1358"/>
      <c r="H430" s="1359"/>
      <c r="I430" s="913"/>
      <c r="J430" s="848"/>
      <c r="K430" s="783"/>
      <c r="L430" s="820"/>
      <c r="M430" s="821"/>
      <c r="N430" s="801"/>
      <c r="O430" s="822"/>
      <c r="P430" s="822"/>
      <c r="Q430" s="822"/>
      <c r="R430" s="822"/>
      <c r="S430" s="822"/>
      <c r="T430" s="822"/>
      <c r="U430" s="822"/>
      <c r="V430" s="822"/>
      <c r="W430" s="822"/>
      <c r="X430" s="822"/>
      <c r="Y430" s="823"/>
      <c r="Z430" s="823"/>
      <c r="AA430" s="823"/>
    </row>
    <row r="431" spans="1:27" x14ac:dyDescent="0.25">
      <c r="A431" s="1035">
        <v>422</v>
      </c>
      <c r="B431" s="1035" t="s">
        <v>49</v>
      </c>
      <c r="C431" s="1035" t="s">
        <v>147</v>
      </c>
      <c r="D431" s="1360"/>
      <c r="E431" s="1361"/>
      <c r="F431" s="1361"/>
      <c r="G431" s="1361"/>
      <c r="H431" s="1362"/>
      <c r="I431" s="913"/>
      <c r="J431" s="848"/>
      <c r="K431" s="783"/>
      <c r="L431" s="820"/>
      <c r="M431" s="821"/>
      <c r="N431" s="801"/>
      <c r="O431" s="822"/>
      <c r="P431" s="822"/>
      <c r="Q431" s="822"/>
      <c r="R431" s="822"/>
      <c r="S431" s="822"/>
      <c r="T431" s="822"/>
      <c r="U431" s="822"/>
      <c r="V431" s="822"/>
      <c r="W431" s="822"/>
      <c r="X431" s="822"/>
      <c r="Y431" s="823"/>
      <c r="Z431" s="823"/>
      <c r="AA431" s="823"/>
    </row>
    <row r="432" spans="1:27" ht="15.75" thickBot="1" x14ac:dyDescent="0.3">
      <c r="A432" s="1035">
        <v>423</v>
      </c>
      <c r="B432" s="1035" t="s">
        <v>49</v>
      </c>
      <c r="C432" s="1035" t="s">
        <v>147</v>
      </c>
      <c r="I432" s="913"/>
      <c r="J432" s="848"/>
      <c r="K432" s="783"/>
      <c r="L432" s="820"/>
      <c r="M432" s="821"/>
      <c r="N432" s="801"/>
      <c r="O432" s="822"/>
      <c r="P432" s="822"/>
      <c r="Q432" s="822"/>
      <c r="R432" s="822"/>
      <c r="S432" s="822"/>
      <c r="T432" s="822"/>
      <c r="U432" s="822"/>
      <c r="V432" s="822"/>
      <c r="W432" s="822"/>
      <c r="X432" s="822"/>
      <c r="Y432" s="823"/>
      <c r="Z432" s="823"/>
      <c r="AA432" s="823"/>
    </row>
    <row r="433" spans="1:33" x14ac:dyDescent="0.25">
      <c r="A433" s="1037">
        <v>424</v>
      </c>
      <c r="B433" s="1037" t="s">
        <v>49</v>
      </c>
      <c r="C433" s="802" t="s">
        <v>148</v>
      </c>
      <c r="D433" s="1162" t="s">
        <v>895</v>
      </c>
      <c r="E433" s="1158"/>
      <c r="F433" s="1158"/>
      <c r="G433" s="1159"/>
      <c r="H433" s="1159"/>
      <c r="I433" s="913"/>
      <c r="J433" s="848"/>
      <c r="K433" s="783"/>
      <c r="L433" s="809" t="str">
        <f>C433</f>
        <v>Ene 03</v>
      </c>
      <c r="M433" s="821"/>
      <c r="N433" s="801"/>
      <c r="O433" s="822"/>
      <c r="P433" s="822"/>
      <c r="Q433" s="822"/>
      <c r="R433" s="822"/>
      <c r="S433" s="822"/>
      <c r="T433" s="822"/>
      <c r="U433" s="822"/>
      <c r="V433" s="822"/>
      <c r="W433" s="822"/>
      <c r="X433" s="822"/>
      <c r="Y433" s="823"/>
      <c r="Z433" s="823"/>
      <c r="AA433" s="823"/>
    </row>
    <row r="434" spans="1:33" x14ac:dyDescent="0.25">
      <c r="A434" s="1035">
        <v>425</v>
      </c>
      <c r="B434" s="1035" t="s">
        <v>49</v>
      </c>
      <c r="C434" s="1035" t="s">
        <v>148</v>
      </c>
      <c r="D434" s="1107" t="s">
        <v>17</v>
      </c>
      <c r="E434" s="1108">
        <f>Ene03_credits</f>
        <v>1</v>
      </c>
      <c r="F434" s="1109"/>
      <c r="G434" s="1110" t="s">
        <v>85</v>
      </c>
      <c r="H434" s="1111">
        <f>Ene03_05</f>
        <v>8.6363636363636365E-3</v>
      </c>
      <c r="I434" s="913"/>
      <c r="J434" s="848"/>
      <c r="K434" s="783"/>
      <c r="L434" s="820"/>
      <c r="M434" s="821"/>
      <c r="N434" s="801"/>
      <c r="O434" s="822"/>
      <c r="P434" s="822"/>
      <c r="Q434" s="822"/>
      <c r="R434" s="822"/>
      <c r="S434" s="822"/>
      <c r="T434" s="822"/>
      <c r="U434" s="822"/>
      <c r="V434" s="822"/>
      <c r="W434" s="822"/>
      <c r="X434" s="822"/>
      <c r="Y434" s="823"/>
      <c r="Z434" s="823"/>
      <c r="AA434" s="823"/>
    </row>
    <row r="435" spans="1:33" x14ac:dyDescent="0.25">
      <c r="A435" s="1035">
        <v>426</v>
      </c>
      <c r="B435" s="1035" t="s">
        <v>49</v>
      </c>
      <c r="C435" s="1035" t="s">
        <v>148</v>
      </c>
      <c r="D435" s="1112" t="s">
        <v>349</v>
      </c>
      <c r="E435" s="1113">
        <v>0</v>
      </c>
      <c r="F435" s="1114"/>
      <c r="G435" s="1115" t="s">
        <v>350</v>
      </c>
      <c r="H435" s="1116" t="s">
        <v>15</v>
      </c>
      <c r="I435" s="913"/>
      <c r="J435" s="848"/>
      <c r="K435" s="783"/>
      <c r="L435" s="820"/>
      <c r="M435" s="821"/>
      <c r="N435" s="801"/>
      <c r="O435" s="822"/>
      <c r="P435" s="822"/>
      <c r="Q435" s="822"/>
      <c r="R435" s="822"/>
      <c r="S435" s="822"/>
      <c r="T435" s="822"/>
      <c r="U435" s="822"/>
      <c r="V435" s="822"/>
      <c r="W435" s="822"/>
      <c r="X435" s="822"/>
      <c r="Y435" s="823"/>
      <c r="Z435" s="823"/>
      <c r="AA435" s="823"/>
    </row>
    <row r="436" spans="1:33" x14ac:dyDescent="0.25">
      <c r="A436" s="1035">
        <v>427</v>
      </c>
      <c r="B436" s="1035" t="s">
        <v>49</v>
      </c>
      <c r="C436" s="1035" t="s">
        <v>148</v>
      </c>
      <c r="I436" s="913"/>
      <c r="J436" s="848"/>
      <c r="K436" s="783"/>
      <c r="L436" s="820"/>
      <c r="M436" s="821"/>
      <c r="N436" s="801"/>
      <c r="O436" s="822"/>
      <c r="P436" s="822"/>
      <c r="Q436" s="822"/>
      <c r="R436" s="822"/>
      <c r="S436" s="822"/>
      <c r="T436" s="822"/>
      <c r="U436" s="822"/>
      <c r="V436" s="822"/>
      <c r="W436" s="822"/>
      <c r="X436" s="822"/>
      <c r="Y436" s="823"/>
      <c r="Z436" s="823"/>
      <c r="AA436" s="823"/>
    </row>
    <row r="437" spans="1:33" ht="15.75" thickBot="1" x14ac:dyDescent="0.3">
      <c r="A437" s="1035">
        <v>428</v>
      </c>
      <c r="B437" s="1035" t="s">
        <v>49</v>
      </c>
      <c r="C437" s="1035" t="s">
        <v>148</v>
      </c>
      <c r="D437" s="1117" t="s">
        <v>351</v>
      </c>
      <c r="E437" s="1118" t="s">
        <v>352</v>
      </c>
      <c r="F437" s="1118" t="s">
        <v>353</v>
      </c>
      <c r="G437" s="1118" t="s">
        <v>354</v>
      </c>
      <c r="H437" s="1118" t="s">
        <v>355</v>
      </c>
      <c r="I437" s="913"/>
      <c r="J437" s="848"/>
      <c r="K437" s="783"/>
      <c r="L437" s="820"/>
      <c r="M437" s="821"/>
      <c r="N437" s="801"/>
      <c r="O437" s="822"/>
      <c r="P437" s="822"/>
      <c r="Q437" s="822"/>
      <c r="R437" s="822"/>
      <c r="S437" s="822"/>
      <c r="T437" s="822"/>
      <c r="U437" s="822"/>
      <c r="V437" s="822"/>
      <c r="W437" s="822"/>
      <c r="X437" s="822"/>
      <c r="Y437" s="823"/>
      <c r="Z437" s="823"/>
      <c r="AA437" s="823"/>
    </row>
    <row r="438" spans="1:33" ht="15.75" thickBot="1" x14ac:dyDescent="0.3">
      <c r="A438" s="1035">
        <v>429</v>
      </c>
      <c r="B438" s="1035" t="s">
        <v>49</v>
      </c>
      <c r="C438" s="1035" t="s">
        <v>148</v>
      </c>
      <c r="D438" s="1119" t="s">
        <v>815</v>
      </c>
      <c r="E438" s="1093" t="s">
        <v>360</v>
      </c>
      <c r="F438" s="1139">
        <f>E434</f>
        <v>1</v>
      </c>
      <c r="G438" s="1292">
        <f>IF(AND(E438=AIS_Yes,E439=AIS_Yes),F438,0)*IF(U438=AIS_No,1,IF(H438=AA438,R438,IF(H438=AB438,S438,IF(H438=AC438,T438,1))))</f>
        <v>0</v>
      </c>
      <c r="H438" s="1328" t="s">
        <v>16</v>
      </c>
      <c r="I438" s="913"/>
      <c r="J438" s="848"/>
      <c r="K438" s="783"/>
      <c r="L438" s="820"/>
      <c r="M438" s="821"/>
      <c r="N438" s="801"/>
      <c r="O438" s="1266">
        <v>1</v>
      </c>
      <c r="P438" s="1266">
        <v>0.5</v>
      </c>
      <c r="Q438" s="1267">
        <v>1</v>
      </c>
      <c r="R438" s="1258" t="str">
        <f t="shared" ref="R438" si="29">IF($T$4=AIS_Yes,O438,AIS_NA)</f>
        <v>N/A</v>
      </c>
      <c r="S438" s="1259" t="str">
        <f t="shared" ref="S438" si="30">IF($T$4=AIS_Yes,P438,AIS_NA)</f>
        <v>N/A</v>
      </c>
      <c r="T438" s="1074" t="str">
        <f t="shared" ref="T438" si="31">IF($T$4=AIS_Yes,Q438,AIS_NA)</f>
        <v>N/A</v>
      </c>
      <c r="U438" s="1265" t="str">
        <f>IF(AND($T$4=AIS_Yes,OR(R438&lt;&gt;AIS_NA,S438&lt;&gt;AIS_NA,T438&lt;&gt;AIS_NA)),AIS_Yes,AIS_No)</f>
        <v>No</v>
      </c>
      <c r="V438" s="1258" t="str">
        <f>AIS_option01</f>
        <v>N/A</v>
      </c>
      <c r="W438" s="1259" t="str">
        <f>AIS_option02_50</f>
        <v>Option 2: -50%</v>
      </c>
      <c r="X438" s="1272" t="str">
        <f>AIS_option03</f>
        <v>N/A</v>
      </c>
      <c r="Y438" s="1273"/>
      <c r="Z438" s="1282" t="str">
        <f>AIS_NA</f>
        <v>N/A</v>
      </c>
      <c r="AA438" s="1274" t="str">
        <f>IF(U438=AIS_Yes,V438,AIS_NA)</f>
        <v>N/A</v>
      </c>
      <c r="AB438" s="1274" t="str">
        <f>IF(U438=AIS_Yes,W438,AIS_NA)</f>
        <v>N/A</v>
      </c>
      <c r="AC438" s="1275" t="str">
        <f>IF(U438=AIS_Yes,X438,AIS_NA)</f>
        <v>N/A</v>
      </c>
      <c r="AD438" s="1276" t="str">
        <f>C438</f>
        <v>Ene 03</v>
      </c>
      <c r="AE438" s="1262" t="str">
        <f>D433</f>
        <v>External lighting</v>
      </c>
      <c r="AF438" s="1263" t="str">
        <f>H438</f>
        <v>N/A</v>
      </c>
      <c r="AG438" s="768">
        <f>IF(U438=AIS_No,1,IF(H438=AA438,R438,IF(H438=AB438,S438,IF(H438=AC438,T438,1))))</f>
        <v>1</v>
      </c>
    </row>
    <row r="439" spans="1:33" ht="15.75" thickBot="1" x14ac:dyDescent="0.3">
      <c r="A439" s="1035">
        <v>430</v>
      </c>
      <c r="B439" s="1035" t="s">
        <v>49</v>
      </c>
      <c r="C439" s="1035" t="s">
        <v>148</v>
      </c>
      <c r="D439" s="1123" t="s">
        <v>816</v>
      </c>
      <c r="E439" s="1092" t="s">
        <v>360</v>
      </c>
      <c r="F439" s="1140"/>
      <c r="G439" s="1140"/>
      <c r="H439" s="1321"/>
      <c r="I439" s="913"/>
      <c r="J439" s="848"/>
      <c r="K439" s="783"/>
      <c r="L439" s="820"/>
      <c r="M439" s="821"/>
      <c r="N439" s="801"/>
      <c r="O439" s="822"/>
      <c r="P439" s="822"/>
      <c r="Q439" s="822"/>
      <c r="R439" s="822"/>
      <c r="S439" s="822"/>
      <c r="T439" s="822"/>
      <c r="U439" s="822" t="str">
        <f>U438</f>
        <v>No</v>
      </c>
      <c r="V439" s="822"/>
      <c r="W439" s="822"/>
      <c r="X439" s="822"/>
      <c r="Y439" s="823"/>
      <c r="Z439" s="823"/>
      <c r="AA439" s="823"/>
    </row>
    <row r="440" spans="1:33" x14ac:dyDescent="0.25">
      <c r="A440" s="1035">
        <v>431</v>
      </c>
      <c r="B440" s="1035" t="s">
        <v>49</v>
      </c>
      <c r="C440" s="1035" t="s">
        <v>148</v>
      </c>
      <c r="E440" s="1144"/>
      <c r="I440" s="913"/>
      <c r="J440" s="848"/>
      <c r="K440" s="783"/>
      <c r="L440" s="820"/>
      <c r="M440" s="821"/>
      <c r="N440" s="801"/>
      <c r="O440" s="822"/>
      <c r="P440" s="822"/>
      <c r="Q440" s="822"/>
      <c r="R440" s="822"/>
      <c r="S440" s="822"/>
      <c r="T440" s="822"/>
      <c r="U440" s="822"/>
      <c r="V440" s="822"/>
      <c r="W440" s="822"/>
      <c r="X440" s="822"/>
      <c r="Y440" s="823"/>
      <c r="Z440" s="823"/>
      <c r="AA440" s="823"/>
    </row>
    <row r="441" spans="1:33" x14ac:dyDescent="0.25">
      <c r="A441" s="1035">
        <v>432</v>
      </c>
      <c r="B441" s="1035" t="s">
        <v>49</v>
      </c>
      <c r="C441" s="1035" t="s">
        <v>148</v>
      </c>
      <c r="D441" s="1127" t="s">
        <v>356</v>
      </c>
      <c r="E441" s="1278">
        <f>G438</f>
        <v>0</v>
      </c>
      <c r="I441" s="1029"/>
      <c r="J441" s="848"/>
      <c r="K441" s="783"/>
      <c r="L441" s="820"/>
      <c r="M441" s="821"/>
      <c r="N441" s="801"/>
      <c r="O441" s="822"/>
      <c r="P441" s="822"/>
      <c r="Q441" s="822"/>
      <c r="R441" s="822"/>
      <c r="S441" s="822"/>
      <c r="T441" s="822"/>
      <c r="U441" s="822"/>
      <c r="V441" s="822"/>
      <c r="W441" s="822"/>
      <c r="X441" s="822"/>
      <c r="Y441" s="823"/>
      <c r="Z441" s="823"/>
      <c r="AA441" s="823"/>
    </row>
    <row r="442" spans="1:33" x14ac:dyDescent="0.25">
      <c r="A442" s="1035">
        <v>433</v>
      </c>
      <c r="B442" s="1035" t="s">
        <v>49</v>
      </c>
      <c r="C442" s="1035" t="s">
        <v>148</v>
      </c>
      <c r="D442" s="1336" t="s">
        <v>86</v>
      </c>
      <c r="E442" s="1130">
        <f>Ene03_06</f>
        <v>0</v>
      </c>
      <c r="I442" s="913"/>
      <c r="J442" s="848"/>
      <c r="K442" s="783"/>
      <c r="L442" s="820"/>
      <c r="M442" s="821"/>
      <c r="N442" s="801"/>
      <c r="O442" s="822"/>
      <c r="P442" s="822"/>
      <c r="Q442" s="822"/>
      <c r="R442" s="822"/>
      <c r="S442" s="822"/>
      <c r="T442" s="822"/>
      <c r="U442" s="822"/>
      <c r="V442" s="822"/>
      <c r="W442" s="822"/>
      <c r="X442" s="822"/>
      <c r="Y442" s="823"/>
      <c r="Z442" s="823"/>
      <c r="AA442" s="823"/>
    </row>
    <row r="443" spans="1:33" x14ac:dyDescent="0.25">
      <c r="A443" s="1035">
        <v>434</v>
      </c>
      <c r="B443" s="1035" t="s">
        <v>49</v>
      </c>
      <c r="C443" s="1035" t="s">
        <v>148</v>
      </c>
      <c r="D443" s="1131" t="s">
        <v>357</v>
      </c>
      <c r="E443" s="1128" t="s">
        <v>16</v>
      </c>
      <c r="I443" s="913"/>
      <c r="J443" s="848"/>
      <c r="K443" s="783"/>
      <c r="L443" s="820"/>
      <c r="M443" s="821"/>
      <c r="N443" s="801"/>
      <c r="O443" s="822"/>
      <c r="P443" s="822"/>
      <c r="Q443" s="822"/>
      <c r="R443" s="822"/>
      <c r="S443" s="822"/>
      <c r="T443" s="822"/>
      <c r="U443" s="822"/>
      <c r="V443" s="822"/>
      <c r="W443" s="822"/>
      <c r="X443" s="822"/>
      <c r="Y443" s="823"/>
      <c r="Z443" s="823"/>
      <c r="AA443" s="823"/>
    </row>
    <row r="444" spans="1:33" x14ac:dyDescent="0.25">
      <c r="A444" s="1035">
        <v>435</v>
      </c>
      <c r="B444" s="1035" t="s">
        <v>49</v>
      </c>
      <c r="C444" s="1035" t="s">
        <v>148</v>
      </c>
      <c r="D444" s="1132" t="s">
        <v>55</v>
      </c>
      <c r="E444" s="1133" t="s">
        <v>16</v>
      </c>
      <c r="F444" s="1134"/>
      <c r="G444" s="1135"/>
      <c r="I444" s="913"/>
      <c r="J444" s="848"/>
      <c r="K444" s="783"/>
      <c r="L444" s="820"/>
      <c r="M444" s="821"/>
      <c r="N444" s="801"/>
      <c r="O444" s="822"/>
      <c r="P444" s="822"/>
      <c r="Q444" s="822"/>
      <c r="R444" s="822"/>
      <c r="S444" s="822"/>
      <c r="T444" s="822"/>
      <c r="U444" s="822"/>
      <c r="V444" s="822"/>
      <c r="W444" s="822"/>
      <c r="X444" s="822"/>
      <c r="Y444" s="823"/>
      <c r="Z444" s="823"/>
      <c r="AA444" s="823"/>
    </row>
    <row r="445" spans="1:33" x14ac:dyDescent="0.25">
      <c r="A445" s="1035">
        <v>436</v>
      </c>
      <c r="B445" s="1035" t="s">
        <v>49</v>
      </c>
      <c r="C445" s="1035" t="s">
        <v>148</v>
      </c>
      <c r="I445" s="913"/>
      <c r="J445" s="848"/>
      <c r="K445" s="783"/>
      <c r="L445" s="820"/>
      <c r="M445" s="821"/>
      <c r="N445" s="801"/>
      <c r="O445" s="822"/>
      <c r="P445" s="822"/>
      <c r="Q445" s="822"/>
      <c r="R445" s="822"/>
      <c r="S445" s="822"/>
      <c r="T445" s="822"/>
      <c r="U445" s="822"/>
      <c r="V445" s="822"/>
      <c r="W445" s="822"/>
      <c r="X445" s="822"/>
      <c r="Y445" s="823"/>
      <c r="Z445" s="823"/>
      <c r="AA445" s="823"/>
    </row>
    <row r="446" spans="1:33" x14ac:dyDescent="0.25">
      <c r="A446" s="1035">
        <v>437</v>
      </c>
      <c r="B446" s="1035" t="s">
        <v>49</v>
      </c>
      <c r="C446" s="1035" t="s">
        <v>148</v>
      </c>
      <c r="D446" s="1335" t="s">
        <v>359</v>
      </c>
      <c r="E446" s="1136" t="s">
        <v>977</v>
      </c>
      <c r="F446" s="1136" t="str">
        <f>HLOOKUP(C446,'Assessment References'!$H$512:$BG$513,2,FALSE)</f>
        <v/>
      </c>
      <c r="G446" s="1137"/>
      <c r="H446" s="1138"/>
      <c r="I446" s="913"/>
      <c r="J446" s="848"/>
      <c r="K446" s="783"/>
      <c r="L446" s="820"/>
      <c r="M446" s="821"/>
      <c r="N446" s="801"/>
      <c r="O446" s="822"/>
      <c r="P446" s="822"/>
      <c r="Q446" s="822"/>
      <c r="R446" s="822"/>
      <c r="S446" s="822"/>
      <c r="T446" s="822"/>
      <c r="U446" s="822"/>
      <c r="V446" s="822"/>
      <c r="W446" s="822"/>
      <c r="X446" s="822"/>
      <c r="Y446" s="823"/>
      <c r="Z446" s="823"/>
      <c r="AA446" s="823"/>
    </row>
    <row r="447" spans="1:33" x14ac:dyDescent="0.25">
      <c r="A447" s="1035">
        <v>438</v>
      </c>
      <c r="B447" s="1035" t="s">
        <v>49</v>
      </c>
      <c r="C447" s="1035" t="s">
        <v>148</v>
      </c>
      <c r="D447" s="1363"/>
      <c r="E447" s="1352"/>
      <c r="F447" s="1352"/>
      <c r="G447" s="1352"/>
      <c r="H447" s="1353"/>
      <c r="I447" s="913"/>
      <c r="J447" s="848"/>
      <c r="K447" s="783"/>
      <c r="L447" s="820"/>
      <c r="M447" s="821"/>
      <c r="N447" s="801"/>
      <c r="O447" s="822"/>
      <c r="P447" s="822"/>
      <c r="Q447" s="822"/>
      <c r="R447" s="822"/>
      <c r="S447" s="822"/>
      <c r="T447" s="822"/>
      <c r="U447" s="822"/>
      <c r="V447" s="822"/>
      <c r="W447" s="822"/>
      <c r="X447" s="822"/>
      <c r="Y447" s="823"/>
      <c r="Z447" s="823"/>
      <c r="AA447" s="823"/>
    </row>
    <row r="448" spans="1:33" x14ac:dyDescent="0.25">
      <c r="A448" s="1035">
        <v>439</v>
      </c>
      <c r="B448" s="1035" t="s">
        <v>49</v>
      </c>
      <c r="C448" s="1035" t="s">
        <v>148</v>
      </c>
      <c r="D448" s="1354"/>
      <c r="E448" s="1355"/>
      <c r="F448" s="1355"/>
      <c r="G448" s="1355"/>
      <c r="H448" s="1356"/>
      <c r="I448" s="913"/>
      <c r="J448" s="848"/>
      <c r="K448" s="783"/>
      <c r="L448" s="820"/>
      <c r="M448" s="821"/>
      <c r="N448" s="801"/>
      <c r="O448" s="822"/>
      <c r="P448" s="822"/>
      <c r="Q448" s="822"/>
      <c r="R448" s="822"/>
      <c r="S448" s="822"/>
      <c r="T448" s="822"/>
      <c r="U448" s="822"/>
      <c r="V448" s="822"/>
      <c r="W448" s="822"/>
      <c r="X448" s="822"/>
      <c r="Y448" s="823"/>
      <c r="Z448" s="823"/>
      <c r="AA448" s="823"/>
    </row>
    <row r="449" spans="1:33" x14ac:dyDescent="0.25">
      <c r="A449" s="1035">
        <v>440</v>
      </c>
      <c r="B449" s="1035" t="s">
        <v>49</v>
      </c>
      <c r="C449" s="1035" t="s">
        <v>148</v>
      </c>
      <c r="D449" s="1354"/>
      <c r="E449" s="1355"/>
      <c r="F449" s="1355"/>
      <c r="G449" s="1355"/>
      <c r="H449" s="1356"/>
      <c r="I449" s="913"/>
      <c r="J449" s="848"/>
      <c r="K449" s="783"/>
      <c r="L449" s="820"/>
      <c r="M449" s="821"/>
      <c r="N449" s="801"/>
      <c r="O449" s="822"/>
      <c r="P449" s="822"/>
      <c r="Q449" s="822"/>
      <c r="R449" s="822"/>
      <c r="S449" s="822"/>
      <c r="T449" s="822"/>
      <c r="U449" s="822"/>
      <c r="V449" s="822"/>
      <c r="W449" s="822"/>
      <c r="X449" s="822"/>
      <c r="Y449" s="823"/>
      <c r="Z449" s="823"/>
      <c r="AA449" s="823"/>
    </row>
    <row r="450" spans="1:33" x14ac:dyDescent="0.25">
      <c r="A450" s="1035">
        <v>441</v>
      </c>
      <c r="B450" s="1035" t="s">
        <v>49</v>
      </c>
      <c r="C450" s="1035" t="s">
        <v>148</v>
      </c>
      <c r="D450" s="1364"/>
      <c r="E450" s="1358"/>
      <c r="F450" s="1358"/>
      <c r="G450" s="1358"/>
      <c r="H450" s="1359"/>
      <c r="I450" s="913"/>
      <c r="J450" s="848"/>
      <c r="K450" s="783"/>
      <c r="L450" s="820"/>
      <c r="M450" s="821"/>
      <c r="N450" s="801"/>
      <c r="O450" s="822"/>
      <c r="P450" s="822"/>
      <c r="Q450" s="822"/>
      <c r="R450" s="822"/>
      <c r="S450" s="822"/>
      <c r="T450" s="822"/>
      <c r="U450" s="822"/>
      <c r="V450" s="822"/>
      <c r="W450" s="822"/>
      <c r="X450" s="822"/>
      <c r="Y450" s="823"/>
      <c r="Z450" s="823"/>
      <c r="AA450" s="823"/>
    </row>
    <row r="451" spans="1:33" x14ac:dyDescent="0.25">
      <c r="A451" s="1035">
        <v>442</v>
      </c>
      <c r="B451" s="1035" t="s">
        <v>49</v>
      </c>
      <c r="C451" s="1035" t="s">
        <v>148</v>
      </c>
      <c r="D451" s="1364"/>
      <c r="E451" s="1358"/>
      <c r="F451" s="1358"/>
      <c r="G451" s="1358"/>
      <c r="H451" s="1359"/>
      <c r="I451" s="913"/>
      <c r="J451" s="848"/>
      <c r="K451" s="783"/>
      <c r="L451" s="820"/>
      <c r="M451" s="821"/>
      <c r="N451" s="801"/>
      <c r="O451" s="822"/>
      <c r="P451" s="822"/>
      <c r="Q451" s="822"/>
      <c r="R451" s="822"/>
      <c r="S451" s="822"/>
      <c r="T451" s="822"/>
      <c r="U451" s="822"/>
      <c r="V451" s="822"/>
      <c r="W451" s="822"/>
      <c r="X451" s="822"/>
      <c r="Y451" s="823"/>
      <c r="Z451" s="823"/>
      <c r="AA451" s="823"/>
    </row>
    <row r="452" spans="1:33" x14ac:dyDescent="0.25">
      <c r="A452" s="1035">
        <v>443</v>
      </c>
      <c r="B452" s="1035" t="s">
        <v>49</v>
      </c>
      <c r="C452" s="1035" t="s">
        <v>148</v>
      </c>
      <c r="D452" s="1360"/>
      <c r="E452" s="1361"/>
      <c r="F452" s="1361"/>
      <c r="G452" s="1361"/>
      <c r="H452" s="1362"/>
      <c r="I452" s="913"/>
      <c r="J452" s="848"/>
      <c r="K452" s="783"/>
      <c r="L452" s="860"/>
      <c r="M452" s="847"/>
      <c r="N452" s="801"/>
      <c r="O452" s="861"/>
      <c r="P452" s="861"/>
      <c r="Q452" s="861"/>
      <c r="R452" s="861"/>
      <c r="S452" s="861"/>
      <c r="T452" s="861"/>
      <c r="U452" s="861"/>
      <c r="V452" s="861"/>
      <c r="W452" s="861"/>
      <c r="X452" s="861"/>
      <c r="Y452" s="847"/>
      <c r="Z452" s="847"/>
      <c r="AA452" s="847"/>
    </row>
    <row r="453" spans="1:33" ht="15.75" thickBot="1" x14ac:dyDescent="0.3">
      <c r="A453" s="1035">
        <v>444</v>
      </c>
      <c r="B453" s="1035" t="s">
        <v>49</v>
      </c>
      <c r="C453" s="1035" t="s">
        <v>148</v>
      </c>
      <c r="D453" s="847"/>
      <c r="E453" s="1168"/>
      <c r="F453" s="1168"/>
      <c r="G453" s="1168"/>
      <c r="H453" s="1168"/>
      <c r="I453" s="913"/>
      <c r="J453" s="848"/>
      <c r="K453" s="783"/>
      <c r="L453" s="820"/>
      <c r="M453" s="821"/>
      <c r="N453" s="801"/>
      <c r="O453" s="822"/>
      <c r="P453" s="822"/>
      <c r="Q453" s="822"/>
      <c r="R453" s="822"/>
      <c r="S453" s="822"/>
      <c r="T453" s="822"/>
      <c r="U453" s="822"/>
      <c r="V453" s="822"/>
      <c r="W453" s="822"/>
      <c r="X453" s="822"/>
      <c r="Y453" s="823"/>
      <c r="Z453" s="823"/>
      <c r="AA453" s="823"/>
    </row>
    <row r="454" spans="1:33" x14ac:dyDescent="0.25">
      <c r="A454" s="1037">
        <v>445</v>
      </c>
      <c r="B454" s="1037" t="s">
        <v>49</v>
      </c>
      <c r="C454" s="827" t="s">
        <v>149</v>
      </c>
      <c r="D454" s="1157" t="s">
        <v>896</v>
      </c>
      <c r="E454" s="1158"/>
      <c r="F454" s="1158"/>
      <c r="G454" s="1159"/>
      <c r="H454" s="1159"/>
      <c r="I454" s="913"/>
      <c r="J454" s="848"/>
      <c r="K454" s="783"/>
      <c r="L454" s="809" t="str">
        <f>C454</f>
        <v>Ene 04</v>
      </c>
      <c r="M454" s="821"/>
      <c r="N454" s="801"/>
      <c r="O454" s="822"/>
      <c r="P454" s="822"/>
      <c r="Q454" s="822"/>
      <c r="R454" s="822"/>
      <c r="S454" s="822"/>
      <c r="T454" s="822"/>
      <c r="U454" s="822"/>
      <c r="V454" s="822"/>
      <c r="W454" s="822"/>
      <c r="X454" s="822"/>
      <c r="Y454" s="823"/>
      <c r="Z454" s="823"/>
      <c r="AA454" s="823"/>
    </row>
    <row r="455" spans="1:33" x14ac:dyDescent="0.25">
      <c r="A455" s="1035">
        <v>446</v>
      </c>
      <c r="B455" s="1035" t="s">
        <v>49</v>
      </c>
      <c r="C455" s="1035" t="s">
        <v>149</v>
      </c>
      <c r="D455" s="1107" t="s">
        <v>17</v>
      </c>
      <c r="E455" s="1108">
        <f>Ene04_credits</f>
        <v>2</v>
      </c>
      <c r="F455" s="1109"/>
      <c r="G455" s="1110" t="s">
        <v>85</v>
      </c>
      <c r="H455" s="1111">
        <f>Ene04_19</f>
        <v>1.7272727272727273E-2</v>
      </c>
      <c r="I455" s="913"/>
      <c r="J455" s="848"/>
      <c r="K455" s="783"/>
      <c r="L455" s="862"/>
      <c r="M455" s="863"/>
      <c r="N455" s="801"/>
      <c r="O455" s="822"/>
      <c r="P455" s="822"/>
      <c r="Q455" s="822"/>
      <c r="R455" s="822"/>
      <c r="S455" s="822"/>
      <c r="T455" s="822"/>
      <c r="U455" s="822"/>
      <c r="V455" s="822"/>
      <c r="W455" s="822"/>
      <c r="X455" s="822"/>
      <c r="Y455" s="823"/>
      <c r="Z455" s="823"/>
      <c r="AA455" s="823"/>
    </row>
    <row r="456" spans="1:33" x14ac:dyDescent="0.25">
      <c r="A456" s="1035">
        <v>447</v>
      </c>
      <c r="B456" s="1035" t="s">
        <v>49</v>
      </c>
      <c r="C456" s="1035" t="s">
        <v>149</v>
      </c>
      <c r="D456" s="1112" t="s">
        <v>349</v>
      </c>
      <c r="E456" s="1113">
        <v>0</v>
      </c>
      <c r="F456" s="1114"/>
      <c r="G456" s="1115" t="s">
        <v>350</v>
      </c>
      <c r="H456" s="1116" t="s">
        <v>14</v>
      </c>
      <c r="I456" s="913"/>
      <c r="J456" s="848"/>
      <c r="K456" s="783"/>
      <c r="L456" s="862"/>
      <c r="M456" s="863"/>
      <c r="N456" s="801"/>
      <c r="O456" s="822"/>
      <c r="P456" s="822"/>
      <c r="Q456" s="822"/>
      <c r="R456" s="822"/>
      <c r="S456" s="822"/>
      <c r="T456" s="822"/>
      <c r="U456" s="822"/>
      <c r="V456" s="822"/>
      <c r="W456" s="822"/>
      <c r="X456" s="822"/>
      <c r="Y456" s="823"/>
      <c r="Z456" s="823"/>
      <c r="AA456" s="823"/>
    </row>
    <row r="457" spans="1:33" x14ac:dyDescent="0.25">
      <c r="A457" s="1035">
        <v>448</v>
      </c>
      <c r="B457" s="1035" t="s">
        <v>49</v>
      </c>
      <c r="C457" s="1035" t="s">
        <v>149</v>
      </c>
      <c r="I457" s="913"/>
      <c r="J457" s="848"/>
      <c r="K457" s="783"/>
      <c r="L457" s="862"/>
      <c r="M457" s="863"/>
      <c r="N457" s="801"/>
      <c r="O457" s="822"/>
      <c r="P457" s="822"/>
      <c r="Q457" s="822"/>
      <c r="R457" s="822"/>
      <c r="S457" s="822"/>
      <c r="T457" s="822"/>
      <c r="U457" s="822"/>
      <c r="V457" s="822"/>
      <c r="W457" s="822"/>
      <c r="X457" s="822"/>
      <c r="Y457" s="823"/>
      <c r="Z457" s="823"/>
      <c r="AA457" s="823"/>
    </row>
    <row r="458" spans="1:33" ht="15.75" thickBot="1" x14ac:dyDescent="0.3">
      <c r="A458" s="1035">
        <v>449</v>
      </c>
      <c r="B458" s="1035" t="s">
        <v>49</v>
      </c>
      <c r="C458" s="1035" t="s">
        <v>149</v>
      </c>
      <c r="D458" s="1117" t="s">
        <v>351</v>
      </c>
      <c r="E458" s="1118" t="s">
        <v>352</v>
      </c>
      <c r="F458" s="1118" t="s">
        <v>353</v>
      </c>
      <c r="G458" s="1118" t="s">
        <v>354</v>
      </c>
      <c r="H458" s="1118" t="s">
        <v>355</v>
      </c>
      <c r="I458" s="913"/>
      <c r="J458" s="848"/>
      <c r="K458" s="783"/>
      <c r="L458" s="862"/>
      <c r="M458" s="863"/>
      <c r="N458" s="801"/>
      <c r="O458" s="822"/>
      <c r="P458" s="822"/>
      <c r="Q458" s="822"/>
      <c r="R458" s="822"/>
      <c r="S458" s="822"/>
      <c r="T458" s="822"/>
      <c r="U458" s="822"/>
      <c r="V458" s="822"/>
      <c r="W458" s="822"/>
      <c r="X458" s="822"/>
      <c r="Y458" s="823"/>
      <c r="Z458" s="823"/>
      <c r="AA458" s="823"/>
    </row>
    <row r="459" spans="1:33" ht="15.75" thickBot="1" x14ac:dyDescent="0.3">
      <c r="A459" s="1035">
        <v>450</v>
      </c>
      <c r="B459" s="1035" t="s">
        <v>49</v>
      </c>
      <c r="C459" s="1035" t="s">
        <v>149</v>
      </c>
      <c r="D459" s="1119" t="s">
        <v>398</v>
      </c>
      <c r="E459" s="1093" t="s">
        <v>360</v>
      </c>
      <c r="F459" s="1120">
        <v>1</v>
      </c>
      <c r="G459" s="1120">
        <f>IF(E459=AIS_Yes,F459,0)*IF(U459=AIS_No,1,IF(H459=AA459,R459,IF(H459=AB459,S459,IF(H459=AC459,T459,1))))</f>
        <v>0</v>
      </c>
      <c r="H459" s="1331" t="s">
        <v>16</v>
      </c>
      <c r="I459" s="913"/>
      <c r="J459" s="848"/>
      <c r="K459" s="783"/>
      <c r="L459" s="862"/>
      <c r="M459" s="863"/>
      <c r="N459" s="801"/>
      <c r="O459" s="1266">
        <v>1</v>
      </c>
      <c r="P459" s="1266">
        <v>0</v>
      </c>
      <c r="Q459" s="1267">
        <v>1</v>
      </c>
      <c r="R459" s="1258" t="str">
        <f t="shared" ref="R459" si="32">IF($T$4=AIS_Yes,O459,AIS_NA)</f>
        <v>N/A</v>
      </c>
      <c r="S459" s="1259" t="str">
        <f t="shared" ref="S459" si="33">IF($T$4=AIS_Yes,P459,AIS_NA)</f>
        <v>N/A</v>
      </c>
      <c r="T459" s="1074" t="str">
        <f t="shared" ref="T459" si="34">IF($T$4=AIS_Yes,Q459,AIS_NA)</f>
        <v>N/A</v>
      </c>
      <c r="U459" s="1265" t="str">
        <f>IF(AND($T$4=AIS_Yes,OR(R459&lt;&gt;AIS_NA,S459&lt;&gt;AIS_NA,T459&lt;&gt;AIS_NA)),AIS_Yes,AIS_No)</f>
        <v>No</v>
      </c>
      <c r="V459" s="1258" t="str">
        <f>AIS_option01</f>
        <v>N/A</v>
      </c>
      <c r="W459" s="1259" t="str">
        <f>AIS_option02a</f>
        <v>N/A</v>
      </c>
      <c r="X459" s="1272" t="str">
        <f>AIS_option03</f>
        <v>N/A</v>
      </c>
      <c r="Y459" s="1273"/>
      <c r="Z459" s="1282" t="str">
        <f>AIS_NA</f>
        <v>N/A</v>
      </c>
      <c r="AA459" s="1274" t="str">
        <f>IF(U459=AIS_Yes,V459,AIS_NA)</f>
        <v>N/A</v>
      </c>
      <c r="AB459" s="1274" t="str">
        <f>IF(U459=AIS_Yes,W459,AIS_NA)</f>
        <v>N/A</v>
      </c>
      <c r="AC459" s="1275" t="str">
        <f>IF(U459=AIS_Yes,X459,AIS_NA)</f>
        <v>N/A</v>
      </c>
      <c r="AD459" s="1276" t="str">
        <f>C459</f>
        <v>Ene 04</v>
      </c>
      <c r="AE459" s="1262" t="str">
        <f>D459</f>
        <v>Compliant LZC feasibility study</v>
      </c>
      <c r="AF459" s="1263" t="str">
        <f>H459</f>
        <v>N/A</v>
      </c>
      <c r="AG459" s="768">
        <f>IF(U459=AIS_No,1,IF(H459=AA459,R459,IF(H459=AB459,S459,IF(H459=AC459,T459,1))))</f>
        <v>1</v>
      </c>
    </row>
    <row r="460" spans="1:33" ht="15.75" thickBot="1" x14ac:dyDescent="0.3">
      <c r="A460" s="1035">
        <v>451</v>
      </c>
      <c r="B460" s="1035" t="s">
        <v>49</v>
      </c>
      <c r="C460" s="1035" t="s">
        <v>149</v>
      </c>
      <c r="D460" s="1123" t="s">
        <v>399</v>
      </c>
      <c r="E460" s="1092" t="s">
        <v>360</v>
      </c>
      <c r="F460" s="1140">
        <v>1</v>
      </c>
      <c r="G460" s="1124">
        <f>IF(AND(E459=AIS_Yes,E460=AIS_Yes),F460,0)</f>
        <v>0</v>
      </c>
      <c r="H460" s="1321" t="s">
        <v>16</v>
      </c>
      <c r="I460" s="824"/>
      <c r="J460" s="824"/>
      <c r="K460" s="783"/>
      <c r="L460" s="862"/>
      <c r="M460" s="863"/>
      <c r="N460" s="801"/>
      <c r="O460" s="822"/>
      <c r="P460" s="822"/>
      <c r="Q460" s="822"/>
      <c r="R460" s="822"/>
      <c r="S460" s="822"/>
      <c r="T460" s="822"/>
      <c r="U460" s="822" t="str">
        <f>U459</f>
        <v>No</v>
      </c>
      <c r="V460" s="822"/>
      <c r="W460" s="822"/>
      <c r="X460" s="822"/>
      <c r="Y460" s="823"/>
      <c r="Z460" s="823"/>
      <c r="AA460" s="823"/>
    </row>
    <row r="461" spans="1:33" x14ac:dyDescent="0.25">
      <c r="A461" s="1035">
        <v>452</v>
      </c>
      <c r="B461" s="1035" t="s">
        <v>49</v>
      </c>
      <c r="C461" s="1035" t="s">
        <v>149</v>
      </c>
      <c r="I461" s="913"/>
      <c r="J461" s="848"/>
      <c r="K461" s="783"/>
      <c r="L461" s="862"/>
      <c r="M461" s="863"/>
      <c r="N461" s="801"/>
      <c r="O461" s="822"/>
      <c r="P461" s="822"/>
      <c r="Q461" s="822"/>
      <c r="R461" s="822"/>
      <c r="S461" s="822"/>
      <c r="T461" s="822"/>
      <c r="U461" s="822"/>
      <c r="V461" s="822"/>
      <c r="W461" s="822"/>
      <c r="X461" s="822"/>
      <c r="Y461" s="823"/>
      <c r="Z461" s="823"/>
      <c r="AA461" s="823"/>
    </row>
    <row r="462" spans="1:33" x14ac:dyDescent="0.25">
      <c r="A462" s="1035">
        <v>453</v>
      </c>
      <c r="B462" s="1035" t="s">
        <v>49</v>
      </c>
      <c r="C462" s="1035" t="s">
        <v>149</v>
      </c>
      <c r="D462" s="1127" t="s">
        <v>356</v>
      </c>
      <c r="E462" s="1128">
        <f>IF((G459+G460)&gt;E455,E455,G459+G460)</f>
        <v>0</v>
      </c>
      <c r="I462" s="1029"/>
      <c r="J462" s="848"/>
      <c r="K462" s="783"/>
      <c r="L462" s="862"/>
      <c r="M462" s="863"/>
      <c r="N462" s="801"/>
      <c r="O462" s="822"/>
      <c r="P462" s="822"/>
      <c r="Q462" s="822"/>
      <c r="R462" s="822"/>
      <c r="S462" s="822"/>
      <c r="T462" s="822"/>
      <c r="U462" s="822"/>
      <c r="V462" s="822"/>
      <c r="W462" s="822"/>
      <c r="X462" s="822"/>
      <c r="Y462" s="823"/>
      <c r="Z462" s="823"/>
      <c r="AA462" s="823"/>
    </row>
    <row r="463" spans="1:33" x14ac:dyDescent="0.25">
      <c r="A463" s="1035">
        <v>454</v>
      </c>
      <c r="B463" s="1035" t="s">
        <v>49</v>
      </c>
      <c r="C463" s="1035" t="s">
        <v>149</v>
      </c>
      <c r="D463" s="1129" t="s">
        <v>86</v>
      </c>
      <c r="E463" s="1130">
        <f>Ene04_20</f>
        <v>0</v>
      </c>
      <c r="I463" s="913"/>
      <c r="J463" s="848"/>
      <c r="K463" s="783"/>
      <c r="L463" s="862"/>
      <c r="M463" s="863"/>
      <c r="N463" s="801"/>
      <c r="O463" s="822"/>
      <c r="P463" s="822"/>
      <c r="Q463" s="822"/>
      <c r="R463" s="822"/>
      <c r="S463" s="822"/>
      <c r="T463" s="822"/>
      <c r="U463" s="822"/>
      <c r="V463" s="822"/>
      <c r="W463" s="822"/>
      <c r="X463" s="822"/>
      <c r="Y463" s="823"/>
      <c r="Z463" s="823"/>
      <c r="AA463" s="823"/>
    </row>
    <row r="464" spans="1:33" x14ac:dyDescent="0.25">
      <c r="A464" s="1035">
        <v>455</v>
      </c>
      <c r="B464" s="1035" t="s">
        <v>49</v>
      </c>
      <c r="C464" s="1035" t="s">
        <v>149</v>
      </c>
      <c r="D464" s="1131" t="s">
        <v>357</v>
      </c>
      <c r="E464" s="1128" t="s">
        <v>16</v>
      </c>
      <c r="I464" s="913"/>
      <c r="J464" s="848"/>
      <c r="K464" s="783"/>
      <c r="L464" s="862"/>
      <c r="M464" s="863"/>
      <c r="N464" s="801"/>
      <c r="O464" s="822"/>
      <c r="P464" s="822"/>
      <c r="Q464" s="822"/>
      <c r="R464" s="822"/>
      <c r="S464" s="822"/>
      <c r="T464" s="822"/>
      <c r="U464" s="822"/>
      <c r="V464" s="822"/>
      <c r="W464" s="822"/>
      <c r="X464" s="822"/>
      <c r="Y464" s="823"/>
      <c r="Z464" s="823"/>
      <c r="AA464" s="823"/>
    </row>
    <row r="465" spans="1:33" x14ac:dyDescent="0.25">
      <c r="A465" s="1035">
        <v>456</v>
      </c>
      <c r="B465" s="1035" t="s">
        <v>49</v>
      </c>
      <c r="C465" s="1035" t="s">
        <v>149</v>
      </c>
      <c r="D465" s="1132" t="s">
        <v>55</v>
      </c>
      <c r="E465" s="1133" t="str">
        <f>Ene04_16</f>
        <v>Very Good</v>
      </c>
      <c r="F465" s="1134"/>
      <c r="G465" s="1135"/>
      <c r="I465" s="913"/>
      <c r="J465" s="848"/>
      <c r="K465" s="783"/>
      <c r="L465" s="862"/>
      <c r="M465" s="863"/>
      <c r="N465" s="801"/>
      <c r="O465" s="822"/>
      <c r="P465" s="822"/>
      <c r="Q465" s="822"/>
      <c r="R465" s="822"/>
      <c r="S465" s="822"/>
      <c r="T465" s="822"/>
      <c r="U465" s="822"/>
      <c r="V465" s="822"/>
      <c r="W465" s="822"/>
      <c r="X465" s="822"/>
      <c r="Y465" s="823"/>
      <c r="Z465" s="823"/>
      <c r="AA465" s="823"/>
    </row>
    <row r="466" spans="1:33" x14ac:dyDescent="0.25">
      <c r="A466" s="1035">
        <v>457</v>
      </c>
      <c r="B466" s="1035" t="s">
        <v>49</v>
      </c>
      <c r="C466" s="1035" t="s">
        <v>149</v>
      </c>
      <c r="I466" s="913"/>
      <c r="J466" s="848"/>
      <c r="K466" s="783"/>
      <c r="L466" s="862"/>
      <c r="M466" s="863"/>
      <c r="N466" s="801"/>
      <c r="O466" s="822"/>
      <c r="P466" s="822"/>
      <c r="Q466" s="822"/>
      <c r="R466" s="822"/>
      <c r="S466" s="822"/>
      <c r="T466" s="822"/>
      <c r="U466" s="822"/>
      <c r="V466" s="822"/>
      <c r="W466" s="822"/>
      <c r="X466" s="822"/>
      <c r="Y466" s="823"/>
      <c r="Z466" s="823"/>
      <c r="AA466" s="823"/>
    </row>
    <row r="467" spans="1:33" x14ac:dyDescent="0.25">
      <c r="A467" s="1035">
        <v>458</v>
      </c>
      <c r="B467" s="1035" t="s">
        <v>49</v>
      </c>
      <c r="C467" s="1035" t="s">
        <v>149</v>
      </c>
      <c r="D467" s="1136" t="s">
        <v>359</v>
      </c>
      <c r="E467" s="1136" t="s">
        <v>977</v>
      </c>
      <c r="F467" s="1136" t="str">
        <f>HLOOKUP(C467,'Assessment References'!$H$512:$BG$513,2,FALSE)</f>
        <v/>
      </c>
      <c r="G467" s="1137"/>
      <c r="H467" s="1138"/>
      <c r="I467" s="913"/>
      <c r="J467" s="848"/>
      <c r="K467" s="783"/>
      <c r="L467" s="862"/>
      <c r="M467" s="863"/>
      <c r="N467" s="801"/>
      <c r="O467" s="822"/>
      <c r="P467" s="822"/>
      <c r="Q467" s="822"/>
      <c r="R467" s="822"/>
      <c r="S467" s="822"/>
      <c r="T467" s="822"/>
      <c r="U467" s="822"/>
      <c r="V467" s="822"/>
      <c r="W467" s="822"/>
      <c r="X467" s="822"/>
      <c r="Y467" s="823"/>
      <c r="Z467" s="823"/>
      <c r="AA467" s="823"/>
    </row>
    <row r="468" spans="1:33" x14ac:dyDescent="0.25">
      <c r="A468" s="1035">
        <v>459</v>
      </c>
      <c r="B468" s="1035" t="s">
        <v>49</v>
      </c>
      <c r="C468" s="1035" t="s">
        <v>149</v>
      </c>
      <c r="D468" s="1363"/>
      <c r="E468" s="1352"/>
      <c r="F468" s="1352"/>
      <c r="G468" s="1352"/>
      <c r="H468" s="1353"/>
      <c r="I468" s="913"/>
      <c r="J468" s="848"/>
      <c r="K468" s="783"/>
      <c r="L468" s="862"/>
      <c r="M468" s="863"/>
      <c r="N468" s="801"/>
      <c r="O468" s="822"/>
      <c r="P468" s="822"/>
      <c r="Q468" s="822"/>
      <c r="R468" s="822"/>
      <c r="S468" s="822"/>
      <c r="T468" s="822"/>
      <c r="U468" s="822"/>
      <c r="V468" s="822"/>
      <c r="W468" s="822"/>
      <c r="X468" s="822"/>
      <c r="Y468" s="823"/>
      <c r="Z468" s="823"/>
      <c r="AA468" s="823"/>
    </row>
    <row r="469" spans="1:33" x14ac:dyDescent="0.25">
      <c r="A469" s="1035">
        <v>460</v>
      </c>
      <c r="B469" s="1035" t="s">
        <v>49</v>
      </c>
      <c r="C469" s="1035" t="s">
        <v>149</v>
      </c>
      <c r="D469" s="1354"/>
      <c r="E469" s="1355"/>
      <c r="F469" s="1355"/>
      <c r="G469" s="1355"/>
      <c r="H469" s="1356"/>
      <c r="I469" s="913"/>
      <c r="J469" s="848"/>
      <c r="K469" s="783"/>
      <c r="L469" s="862"/>
      <c r="M469" s="863"/>
      <c r="N469" s="801"/>
      <c r="O469" s="822"/>
      <c r="P469" s="822"/>
      <c r="Q469" s="822"/>
      <c r="R469" s="822"/>
      <c r="S469" s="822"/>
      <c r="T469" s="822"/>
      <c r="U469" s="822"/>
      <c r="V469" s="822"/>
      <c r="W469" s="822"/>
      <c r="X469" s="822"/>
      <c r="Y469" s="823"/>
      <c r="Z469" s="823"/>
      <c r="AA469" s="823"/>
    </row>
    <row r="470" spans="1:33" x14ac:dyDescent="0.25">
      <c r="A470" s="1035">
        <v>461</v>
      </c>
      <c r="B470" s="1035" t="s">
        <v>49</v>
      </c>
      <c r="C470" s="1035" t="s">
        <v>149</v>
      </c>
      <c r="D470" s="1354"/>
      <c r="E470" s="1355"/>
      <c r="F470" s="1355"/>
      <c r="G470" s="1355"/>
      <c r="H470" s="1356"/>
      <c r="I470" s="913"/>
      <c r="J470" s="848"/>
      <c r="K470" s="783"/>
      <c r="L470" s="862"/>
      <c r="M470" s="863"/>
      <c r="N470" s="801"/>
      <c r="O470" s="822"/>
      <c r="P470" s="822"/>
      <c r="Q470" s="822"/>
      <c r="R470" s="822"/>
      <c r="S470" s="822"/>
      <c r="T470" s="822"/>
      <c r="U470" s="822"/>
      <c r="V470" s="822"/>
      <c r="W470" s="822"/>
      <c r="X470" s="822"/>
      <c r="Y470" s="823"/>
      <c r="Z470" s="823"/>
      <c r="AA470" s="823"/>
    </row>
    <row r="471" spans="1:33" x14ac:dyDescent="0.25">
      <c r="A471" s="1035">
        <v>462</v>
      </c>
      <c r="B471" s="1035" t="s">
        <v>49</v>
      </c>
      <c r="C471" s="1035" t="s">
        <v>149</v>
      </c>
      <c r="D471" s="1364"/>
      <c r="E471" s="1358"/>
      <c r="F471" s="1358"/>
      <c r="G471" s="1358"/>
      <c r="H471" s="1359"/>
      <c r="I471" s="913"/>
      <c r="J471" s="848"/>
      <c r="K471" s="783"/>
      <c r="L471" s="862"/>
      <c r="M471" s="863"/>
      <c r="N471" s="801"/>
      <c r="O471" s="822"/>
      <c r="P471" s="822"/>
      <c r="Q471" s="822"/>
      <c r="R471" s="822"/>
      <c r="S471" s="822"/>
      <c r="T471" s="822"/>
      <c r="U471" s="822"/>
      <c r="V471" s="822"/>
      <c r="W471" s="822"/>
      <c r="X471" s="822"/>
      <c r="Y471" s="823"/>
      <c r="Z471" s="823"/>
      <c r="AA471" s="823"/>
    </row>
    <row r="472" spans="1:33" x14ac:dyDescent="0.25">
      <c r="A472" s="1035">
        <v>463</v>
      </c>
      <c r="B472" s="1035" t="s">
        <v>49</v>
      </c>
      <c r="C472" s="1035" t="s">
        <v>149</v>
      </c>
      <c r="D472" s="1364"/>
      <c r="E472" s="1358"/>
      <c r="F472" s="1358"/>
      <c r="G472" s="1358"/>
      <c r="H472" s="1359"/>
      <c r="I472" s="913"/>
      <c r="J472" s="848"/>
      <c r="K472" s="783"/>
      <c r="L472" s="862"/>
      <c r="M472" s="863"/>
      <c r="N472" s="801"/>
      <c r="O472" s="822"/>
      <c r="P472" s="822"/>
      <c r="Q472" s="822"/>
      <c r="R472" s="822"/>
      <c r="S472" s="822"/>
      <c r="T472" s="822"/>
      <c r="U472" s="822"/>
      <c r="V472" s="822"/>
      <c r="W472" s="822"/>
      <c r="X472" s="822"/>
      <c r="Y472" s="823"/>
      <c r="Z472" s="823"/>
      <c r="AA472" s="823"/>
    </row>
    <row r="473" spans="1:33" x14ac:dyDescent="0.25">
      <c r="A473" s="1035">
        <v>464</v>
      </c>
      <c r="B473" s="1035" t="s">
        <v>49</v>
      </c>
      <c r="C473" s="1035" t="s">
        <v>149</v>
      </c>
      <c r="D473" s="1360"/>
      <c r="E473" s="1361"/>
      <c r="F473" s="1361"/>
      <c r="G473" s="1361"/>
      <c r="H473" s="1362"/>
      <c r="I473" s="913"/>
      <c r="J473" s="848"/>
      <c r="K473" s="783"/>
      <c r="L473" s="862"/>
      <c r="M473" s="863"/>
      <c r="N473" s="801"/>
      <c r="O473" s="822"/>
      <c r="P473" s="822"/>
      <c r="Q473" s="822"/>
      <c r="R473" s="822"/>
      <c r="S473" s="822"/>
      <c r="T473" s="822"/>
      <c r="U473" s="822"/>
      <c r="V473" s="822"/>
      <c r="W473" s="822"/>
      <c r="X473" s="822"/>
      <c r="Y473" s="823"/>
      <c r="Z473" s="823"/>
      <c r="AA473" s="823"/>
    </row>
    <row r="474" spans="1:33" ht="15.75" thickBot="1" x14ac:dyDescent="0.3">
      <c r="A474" s="1035">
        <v>465</v>
      </c>
      <c r="B474" s="1035" t="s">
        <v>49</v>
      </c>
      <c r="C474" s="1035" t="s">
        <v>149</v>
      </c>
      <c r="D474" s="1174"/>
      <c r="E474" s="1175"/>
      <c r="F474" s="1175"/>
      <c r="G474" s="1175"/>
      <c r="H474" s="1175"/>
      <c r="I474" s="913"/>
      <c r="J474" s="848"/>
      <c r="K474" s="783"/>
      <c r="L474" s="862"/>
      <c r="M474" s="863"/>
      <c r="N474" s="801"/>
      <c r="O474" s="822"/>
      <c r="P474" s="822"/>
      <c r="Q474" s="822"/>
      <c r="R474" s="822"/>
      <c r="S474" s="822"/>
      <c r="T474" s="822"/>
      <c r="U474" s="822"/>
      <c r="V474" s="822"/>
      <c r="W474" s="822"/>
      <c r="X474" s="822"/>
      <c r="Y474" s="823"/>
      <c r="Z474" s="823"/>
      <c r="AA474" s="823"/>
    </row>
    <row r="475" spans="1:33" x14ac:dyDescent="0.25">
      <c r="A475" s="1039">
        <v>466</v>
      </c>
      <c r="B475" s="1039" t="s">
        <v>49</v>
      </c>
      <c r="C475" s="827" t="s">
        <v>150</v>
      </c>
      <c r="D475" s="1157" t="s">
        <v>897</v>
      </c>
      <c r="E475" s="1158"/>
      <c r="F475" s="1158"/>
      <c r="G475" s="1159"/>
      <c r="H475" s="1167" t="str">
        <f>IF(Ene05_credits=AIS_credit00,AIS_statement32,"")</f>
        <v>Assessment Issue Not Applicable</v>
      </c>
      <c r="I475" s="824"/>
      <c r="J475" s="824"/>
      <c r="K475" s="783"/>
      <c r="L475" s="809" t="str">
        <f>C475</f>
        <v>Ene 05</v>
      </c>
      <c r="M475" s="863"/>
      <c r="N475" s="801"/>
      <c r="O475" s="822"/>
      <c r="P475" s="822"/>
      <c r="Q475" s="822"/>
      <c r="R475" s="822"/>
      <c r="S475" s="822"/>
      <c r="T475" s="822"/>
      <c r="U475" s="822"/>
      <c r="V475" s="822"/>
      <c r="W475" s="822"/>
      <c r="X475" s="822"/>
      <c r="Y475" s="823"/>
      <c r="Z475" s="823"/>
      <c r="AA475" s="823"/>
    </row>
    <row r="476" spans="1:33" x14ac:dyDescent="0.25">
      <c r="A476" s="1035">
        <v>467</v>
      </c>
      <c r="B476" s="1035" t="s">
        <v>49</v>
      </c>
      <c r="C476" s="1035" t="s">
        <v>150</v>
      </c>
      <c r="D476" s="1107" t="s">
        <v>17</v>
      </c>
      <c r="E476" s="1108">
        <f>Ene05_credits</f>
        <v>0</v>
      </c>
      <c r="F476" s="1109"/>
      <c r="G476" s="1110" t="s">
        <v>85</v>
      </c>
      <c r="H476" s="1111">
        <f>Ene05_20</f>
        <v>0</v>
      </c>
      <c r="I476" s="913"/>
      <c r="J476" s="848"/>
      <c r="K476" s="783"/>
      <c r="L476" s="862"/>
      <c r="M476" s="863"/>
      <c r="N476" s="801"/>
      <c r="O476" s="822"/>
      <c r="P476" s="822"/>
      <c r="Q476" s="822"/>
      <c r="R476" s="822"/>
      <c r="S476" s="822"/>
      <c r="T476" s="822"/>
      <c r="U476" s="822"/>
      <c r="V476" s="822"/>
      <c r="W476" s="822"/>
      <c r="X476" s="822"/>
      <c r="Y476" s="823"/>
      <c r="Z476" s="823"/>
      <c r="AA476" s="823"/>
    </row>
    <row r="477" spans="1:33" x14ac:dyDescent="0.25">
      <c r="A477" s="1035">
        <v>468</v>
      </c>
      <c r="B477" s="1035" t="s">
        <v>49</v>
      </c>
      <c r="C477" s="1035" t="s">
        <v>150</v>
      </c>
      <c r="D477" s="1112" t="s">
        <v>349</v>
      </c>
      <c r="E477" s="1113">
        <v>0</v>
      </c>
      <c r="F477" s="1114"/>
      <c r="G477" s="1115" t="s">
        <v>350</v>
      </c>
      <c r="H477" s="1116" t="s">
        <v>15</v>
      </c>
      <c r="I477" s="913"/>
      <c r="J477" s="848"/>
      <c r="K477" s="783"/>
      <c r="L477" s="862"/>
      <c r="M477" s="863"/>
      <c r="N477" s="801"/>
      <c r="O477" s="822"/>
      <c r="P477" s="822"/>
      <c r="Q477" s="822"/>
      <c r="R477" s="822"/>
      <c r="S477" s="822"/>
      <c r="T477" s="822"/>
      <c r="U477" s="822"/>
      <c r="V477" s="822"/>
      <c r="W477" s="822"/>
      <c r="X477" s="822"/>
      <c r="Y477" s="823"/>
      <c r="Z477" s="823"/>
      <c r="AA477" s="823"/>
    </row>
    <row r="478" spans="1:33" x14ac:dyDescent="0.25">
      <c r="A478" s="1035">
        <v>469</v>
      </c>
      <c r="B478" s="1035" t="s">
        <v>49</v>
      </c>
      <c r="C478" s="1035" t="s">
        <v>150</v>
      </c>
      <c r="I478" s="913"/>
      <c r="J478" s="848"/>
      <c r="K478" s="783"/>
      <c r="L478" s="862"/>
      <c r="M478" s="863"/>
      <c r="N478" s="801"/>
      <c r="O478" s="822"/>
      <c r="P478" s="822"/>
      <c r="Q478" s="822"/>
      <c r="R478" s="822"/>
      <c r="S478" s="822"/>
      <c r="T478" s="822"/>
      <c r="U478" s="822"/>
      <c r="V478" s="822"/>
      <c r="W478" s="822"/>
      <c r="X478" s="822"/>
      <c r="Y478" s="823"/>
      <c r="Z478" s="823"/>
      <c r="AA478" s="823"/>
    </row>
    <row r="479" spans="1:33" ht="15.75" thickBot="1" x14ac:dyDescent="0.3">
      <c r="A479" s="1035">
        <v>470</v>
      </c>
      <c r="B479" s="1035" t="s">
        <v>49</v>
      </c>
      <c r="C479" s="1035" t="s">
        <v>150</v>
      </c>
      <c r="D479" s="1117" t="s">
        <v>351</v>
      </c>
      <c r="E479" s="1118" t="s">
        <v>352</v>
      </c>
      <c r="F479" s="1118" t="s">
        <v>353</v>
      </c>
      <c r="G479" s="1118" t="s">
        <v>354</v>
      </c>
      <c r="H479" s="1118" t="s">
        <v>355</v>
      </c>
      <c r="I479" s="913"/>
      <c r="J479" s="848"/>
      <c r="K479" s="783"/>
      <c r="L479" s="862"/>
      <c r="M479" s="863"/>
      <c r="N479" s="801"/>
      <c r="O479" s="822"/>
      <c r="P479" s="822"/>
      <c r="Q479" s="822"/>
      <c r="R479" s="822"/>
      <c r="S479" s="822"/>
      <c r="T479" s="822"/>
      <c r="U479" s="822"/>
      <c r="V479" s="822"/>
      <c r="W479" s="822"/>
      <c r="X479" s="822"/>
      <c r="Y479" s="823"/>
      <c r="Z479" s="823"/>
      <c r="AA479" s="823"/>
    </row>
    <row r="480" spans="1:33" ht="15.75" thickBot="1" x14ac:dyDescent="0.3">
      <c r="A480" s="1035">
        <v>471</v>
      </c>
      <c r="B480" s="1035" t="s">
        <v>49</v>
      </c>
      <c r="C480" s="1035" t="s">
        <v>150</v>
      </c>
      <c r="D480" s="1119" t="s">
        <v>400</v>
      </c>
      <c r="E480" s="1093" t="s">
        <v>360</v>
      </c>
      <c r="F480" s="1120">
        <f>IF(E476=0,0,1)</f>
        <v>0</v>
      </c>
      <c r="G480" s="1290">
        <f>IF(E480=AIS_Yes,F480,0)*IF(U480=AIS_No,1,IF(H480=AA480,R480,IF(H480=AB480,S480,IF(H480=AC480,T480,1))))</f>
        <v>0</v>
      </c>
      <c r="H480" s="1331" t="s">
        <v>16</v>
      </c>
      <c r="I480" s="913"/>
      <c r="J480" s="848"/>
      <c r="K480" s="783"/>
      <c r="L480" s="862"/>
      <c r="M480" s="863"/>
      <c r="N480" s="801"/>
      <c r="O480" s="1266">
        <v>1</v>
      </c>
      <c r="P480" s="1266">
        <v>0.5</v>
      </c>
      <c r="Q480" s="1267">
        <v>1</v>
      </c>
      <c r="R480" s="1258" t="str">
        <f t="shared" ref="R480" si="35">IF($T$4=AIS_Yes,O480,AIS_NA)</f>
        <v>N/A</v>
      </c>
      <c r="S480" s="1259" t="str">
        <f t="shared" ref="S480" si="36">IF($T$4=AIS_Yes,P480,AIS_NA)</f>
        <v>N/A</v>
      </c>
      <c r="T480" s="1074" t="str">
        <f t="shared" ref="T480" si="37">IF($T$4=AIS_Yes,Q480,AIS_NA)</f>
        <v>N/A</v>
      </c>
      <c r="U480" s="1265" t="str">
        <f>IF($E$476=0,AIS_No,IF(AND($T$4=AIS_Yes,OR(R480&lt;&gt;AIS_NA,S480&lt;&gt;AIS_NA,T480&lt;&gt;AIS_NA)),AIS_Yes,AIS_No))</f>
        <v>No</v>
      </c>
      <c r="V480" s="1258" t="str">
        <f>AIS_option01</f>
        <v>N/A</v>
      </c>
      <c r="W480" s="1259" t="str">
        <f>AIS_option02_50</f>
        <v>Option 2: -50%</v>
      </c>
      <c r="X480" s="1272" t="str">
        <f>AIS_option03</f>
        <v>N/A</v>
      </c>
      <c r="Y480" s="1273"/>
      <c r="Z480" s="1282" t="str">
        <f>AIS_NA</f>
        <v>N/A</v>
      </c>
      <c r="AA480" s="1274" t="str">
        <f>IF(U480=AIS_Yes,V480,AIS_NA)</f>
        <v>N/A</v>
      </c>
      <c r="AB480" s="1274" t="str">
        <f>IF(U480=AIS_Yes,W480,AIS_NA)</f>
        <v>N/A</v>
      </c>
      <c r="AC480" s="1275" t="str">
        <f>IF(U480=AIS_Yes,X480,AIS_NA)</f>
        <v>N/A</v>
      </c>
      <c r="AD480" s="1276" t="str">
        <f t="shared" ref="AD480:AE482" si="38">C480</f>
        <v>Ene 05</v>
      </c>
      <c r="AE480" s="1262" t="str">
        <f t="shared" si="38"/>
        <v>Refrigeration system design, installation and commissioning</v>
      </c>
      <c r="AF480" s="1263" t="str">
        <f>H480</f>
        <v>N/A</v>
      </c>
      <c r="AG480" s="768">
        <f>IF(U480=AIS_No,1,IF(H480=AA480,R480,IF(H480=AB480,S480,IF(H480=AC480,T480,1))))</f>
        <v>1</v>
      </c>
    </row>
    <row r="481" spans="1:33" ht="15.75" thickBot="1" x14ac:dyDescent="0.3">
      <c r="A481" s="1035">
        <v>472</v>
      </c>
      <c r="B481" s="1035" t="s">
        <v>49</v>
      </c>
      <c r="C481" s="1035" t="s">
        <v>150</v>
      </c>
      <c r="D481" s="1172" t="s">
        <v>401</v>
      </c>
      <c r="E481" s="1173" t="s">
        <v>360</v>
      </c>
      <c r="F481" s="1146">
        <f>IF(E476=0,0,1)</f>
        <v>0</v>
      </c>
      <c r="G481" s="1293">
        <f>IF(E481=AIS_Yes,F481,0)*IF(U481=AIS_No,1,IF(H481=AA481,R481,IF(H481=AB481,S481,IF(H481=AC481,T481,1))))</f>
        <v>0</v>
      </c>
      <c r="H481" s="1323" t="s">
        <v>16</v>
      </c>
      <c r="I481" s="913"/>
      <c r="J481" s="848"/>
      <c r="K481" s="783"/>
      <c r="L481" s="862"/>
      <c r="M481" s="863"/>
      <c r="N481" s="801"/>
      <c r="O481" s="1266">
        <v>1</v>
      </c>
      <c r="P481" s="1266">
        <v>0.5</v>
      </c>
      <c r="Q481" s="1267">
        <v>1</v>
      </c>
      <c r="R481" s="1258" t="str">
        <f t="shared" ref="R481:R482" si="39">IF($T$4=AIS_Yes,O481,AIS_NA)</f>
        <v>N/A</v>
      </c>
      <c r="S481" s="1259" t="str">
        <f t="shared" ref="S481:S482" si="40">IF($T$4=AIS_Yes,P481,AIS_NA)</f>
        <v>N/A</v>
      </c>
      <c r="T481" s="1074" t="str">
        <f t="shared" ref="T481:T482" si="41">IF($T$4=AIS_Yes,Q481,AIS_NA)</f>
        <v>N/A</v>
      </c>
      <c r="U481" s="1265" t="str">
        <f>IF($E$476=0,AIS_No,IF(AND($T$4=AIS_Yes,OR(R481&lt;&gt;AIS_NA,S481&lt;&gt;AIS_NA,T481&lt;&gt;AIS_NA)),AIS_Yes,AIS_No))</f>
        <v>No</v>
      </c>
      <c r="V481" s="1258" t="str">
        <f>AIS_option01</f>
        <v>N/A</v>
      </c>
      <c r="W481" s="1259" t="str">
        <f>AIS_option02_50</f>
        <v>Option 2: -50%</v>
      </c>
      <c r="X481" s="1272" t="str">
        <f>AIS_option03</f>
        <v>N/A</v>
      </c>
      <c r="Y481" s="1273"/>
      <c r="Z481" s="1282" t="str">
        <f>AIS_NA</f>
        <v>N/A</v>
      </c>
      <c r="AA481" s="1274" t="str">
        <f>IF(U481=AIS_Yes,V481,AIS_NA)</f>
        <v>N/A</v>
      </c>
      <c r="AB481" s="1274" t="str">
        <f>IF(U481=AIS_Yes,W481,AIS_NA)</f>
        <v>N/A</v>
      </c>
      <c r="AC481" s="1275" t="str">
        <f>IF(U481=AIS_Yes,X481,AIS_NA)</f>
        <v>N/A</v>
      </c>
      <c r="AD481" s="1276" t="str">
        <f t="shared" si="38"/>
        <v>Ene 05</v>
      </c>
      <c r="AE481" s="1262" t="str">
        <f t="shared" si="38"/>
        <v>Components meet published energy efficiency criteria</v>
      </c>
      <c r="AF481" s="1263" t="str">
        <f>H481</f>
        <v>N/A</v>
      </c>
      <c r="AG481" s="768">
        <f>IF(U481=AIS_No,1,IF(H481=AA481,R481,IF(H481=AB481,S481,IF(H481=AC481,T481,1))))</f>
        <v>1</v>
      </c>
    </row>
    <row r="482" spans="1:33" ht="15.75" thickBot="1" x14ac:dyDescent="0.3">
      <c r="A482" s="1035">
        <v>473</v>
      </c>
      <c r="B482" s="1035" t="s">
        <v>49</v>
      </c>
      <c r="C482" s="1035" t="s">
        <v>150</v>
      </c>
      <c r="D482" s="1123" t="s">
        <v>402</v>
      </c>
      <c r="E482" s="1092" t="s">
        <v>360</v>
      </c>
      <c r="F482" s="1124">
        <f>IF(E476=0,0,IF(E480=AIS_No,0,1))</f>
        <v>0</v>
      </c>
      <c r="G482" s="1294">
        <f>IF(E482=AIS_Yes,F482,0)*IF(U482=AIS_No,1,IF(H482=AA482,R482,IF(H482=AB482,S482,IF(H482=AC482,T482,1))))</f>
        <v>0</v>
      </c>
      <c r="H482" s="1319" t="s">
        <v>16</v>
      </c>
      <c r="I482" s="824"/>
      <c r="J482" s="824"/>
      <c r="K482" s="783"/>
      <c r="L482" s="862"/>
      <c r="M482" s="863"/>
      <c r="N482" s="801"/>
      <c r="O482" s="1266">
        <v>1</v>
      </c>
      <c r="P482" s="1266">
        <v>0.5</v>
      </c>
      <c r="Q482" s="1267">
        <v>1</v>
      </c>
      <c r="R482" s="1258" t="str">
        <f t="shared" si="39"/>
        <v>N/A</v>
      </c>
      <c r="S482" s="1259" t="str">
        <f t="shared" si="40"/>
        <v>N/A</v>
      </c>
      <c r="T482" s="1074" t="str">
        <f t="shared" si="41"/>
        <v>N/A</v>
      </c>
      <c r="U482" s="1265" t="str">
        <f>IF($E$476=0,AIS_No,IF(AND($T$4=AIS_Yes,OR(R482&lt;&gt;AIS_NA,S482&lt;&gt;AIS_NA,T482&lt;&gt;AIS_NA)),AIS_Yes,AIS_No))</f>
        <v>No</v>
      </c>
      <c r="V482" s="1258" t="str">
        <f>AIS_option01</f>
        <v>N/A</v>
      </c>
      <c r="W482" s="1259" t="str">
        <f>AIS_option02_50</f>
        <v>Option 2: -50%</v>
      </c>
      <c r="X482" s="1272" t="str">
        <f>AIS_option03</f>
        <v>N/A</v>
      </c>
      <c r="Y482" s="1273"/>
      <c r="Z482" s="1282" t="str">
        <f>AIS_NA</f>
        <v>N/A</v>
      </c>
      <c r="AA482" s="1274" t="str">
        <f>IF(U482=AIS_Yes,V482,AIS_NA)</f>
        <v>N/A</v>
      </c>
      <c r="AB482" s="1274" t="str">
        <f>IF(U482=AIS_Yes,W482,AIS_NA)</f>
        <v>N/A</v>
      </c>
      <c r="AC482" s="1275" t="str">
        <f>IF(U482=AIS_Yes,X482,AIS_NA)</f>
        <v>N/A</v>
      </c>
      <c r="AD482" s="1276" t="str">
        <f t="shared" si="38"/>
        <v>Ene 05</v>
      </c>
      <c r="AE482" s="1262" t="str">
        <f t="shared" si="38"/>
        <v>Indirect operational greenhouse gas emissions</v>
      </c>
      <c r="AF482" s="1263" t="str">
        <f>H482</f>
        <v>N/A</v>
      </c>
      <c r="AG482" s="768">
        <f>IF(U482=AIS_No,1,IF(H482=AA482,R482,IF(H482=AB482,S482,IF(H482=AC482,T482,1))))</f>
        <v>1</v>
      </c>
    </row>
    <row r="483" spans="1:33" x14ac:dyDescent="0.25">
      <c r="A483" s="1035">
        <v>474</v>
      </c>
      <c r="B483" s="1035" t="s">
        <v>49</v>
      </c>
      <c r="C483" s="1035" t="s">
        <v>150</v>
      </c>
      <c r="I483" s="913"/>
      <c r="J483" s="848"/>
      <c r="K483" s="783"/>
      <c r="L483" s="862"/>
      <c r="M483" s="863"/>
      <c r="N483" s="801"/>
      <c r="O483" s="822"/>
      <c r="P483" s="822"/>
      <c r="Q483" s="822"/>
      <c r="R483" s="822"/>
      <c r="S483" s="822"/>
      <c r="T483" s="822"/>
      <c r="U483" s="822"/>
      <c r="V483" s="822"/>
      <c r="W483" s="822"/>
      <c r="X483" s="822"/>
      <c r="Y483" s="823"/>
      <c r="Z483" s="823"/>
      <c r="AA483" s="823"/>
    </row>
    <row r="484" spans="1:33" x14ac:dyDescent="0.25">
      <c r="A484" s="1035">
        <v>475</v>
      </c>
      <c r="B484" s="1035" t="s">
        <v>49</v>
      </c>
      <c r="C484" s="1035" t="s">
        <v>150</v>
      </c>
      <c r="D484" s="1127" t="s">
        <v>356</v>
      </c>
      <c r="E484" s="1278">
        <f>IF((G480+G481+G482)&gt;E476,E476,G480+G481+G482)</f>
        <v>0</v>
      </c>
      <c r="I484" s="1029"/>
      <c r="J484" s="848"/>
      <c r="K484" s="783"/>
      <c r="L484" s="862"/>
      <c r="M484" s="863"/>
      <c r="N484" s="801"/>
      <c r="O484" s="822"/>
      <c r="P484" s="822"/>
      <c r="Q484" s="822"/>
      <c r="R484" s="822"/>
      <c r="S484" s="822"/>
      <c r="T484" s="822"/>
      <c r="U484" s="822"/>
      <c r="V484" s="822"/>
      <c r="W484" s="822"/>
      <c r="X484" s="822"/>
      <c r="Y484" s="823"/>
      <c r="Z484" s="823"/>
      <c r="AA484" s="823"/>
    </row>
    <row r="485" spans="1:33" x14ac:dyDescent="0.25">
      <c r="A485" s="1035">
        <v>476</v>
      </c>
      <c r="B485" s="1035" t="s">
        <v>49</v>
      </c>
      <c r="C485" s="1035" t="s">
        <v>150</v>
      </c>
      <c r="D485" s="1129" t="s">
        <v>86</v>
      </c>
      <c r="E485" s="1130">
        <f>Ene05_21</f>
        <v>0</v>
      </c>
      <c r="I485" s="913"/>
      <c r="J485" s="848"/>
      <c r="K485" s="783"/>
      <c r="L485" s="862"/>
      <c r="M485" s="863"/>
      <c r="N485" s="801"/>
      <c r="O485" s="822"/>
      <c r="P485" s="822"/>
      <c r="Q485" s="822"/>
      <c r="R485" s="822"/>
      <c r="S485" s="822"/>
      <c r="T485" s="822"/>
      <c r="U485" s="822"/>
      <c r="V485" s="822"/>
      <c r="W485" s="822"/>
      <c r="X485" s="822"/>
      <c r="Y485" s="823"/>
      <c r="Z485" s="823"/>
      <c r="AA485" s="823"/>
    </row>
    <row r="486" spans="1:33" x14ac:dyDescent="0.25">
      <c r="A486" s="1035">
        <v>477</v>
      </c>
      <c r="B486" s="1035" t="s">
        <v>49</v>
      </c>
      <c r="C486" s="1035" t="s">
        <v>150</v>
      </c>
      <c r="D486" s="1131" t="s">
        <v>357</v>
      </c>
      <c r="E486" s="1128" t="s">
        <v>16</v>
      </c>
      <c r="I486" s="913"/>
      <c r="J486" s="848"/>
      <c r="K486" s="783"/>
      <c r="L486" s="862"/>
      <c r="M486" s="863"/>
      <c r="N486" s="801"/>
      <c r="O486" s="822"/>
      <c r="P486" s="822"/>
      <c r="Q486" s="822"/>
      <c r="R486" s="822"/>
      <c r="S486" s="822"/>
      <c r="T486" s="822"/>
      <c r="U486" s="822"/>
      <c r="V486" s="822"/>
      <c r="W486" s="822"/>
      <c r="X486" s="822"/>
      <c r="Y486" s="823"/>
      <c r="Z486" s="823"/>
      <c r="AA486" s="823"/>
    </row>
    <row r="487" spans="1:33" x14ac:dyDescent="0.25">
      <c r="A487" s="1035">
        <v>478</v>
      </c>
      <c r="B487" s="1035" t="s">
        <v>49</v>
      </c>
      <c r="C487" s="1035" t="s">
        <v>150</v>
      </c>
      <c r="D487" s="1132" t="s">
        <v>55</v>
      </c>
      <c r="E487" s="1133" t="s">
        <v>16</v>
      </c>
      <c r="F487" s="1134"/>
      <c r="G487" s="1135"/>
      <c r="I487" s="913"/>
      <c r="J487" s="848"/>
      <c r="K487" s="783"/>
      <c r="L487" s="862"/>
      <c r="M487" s="863"/>
      <c r="N487" s="801"/>
      <c r="O487" s="822"/>
      <c r="P487" s="822"/>
      <c r="Q487" s="822"/>
      <c r="R487" s="822"/>
      <c r="S487" s="822"/>
      <c r="T487" s="822"/>
      <c r="U487" s="822"/>
      <c r="V487" s="822"/>
      <c r="W487" s="822"/>
      <c r="X487" s="822"/>
      <c r="Y487" s="823"/>
      <c r="Z487" s="823"/>
      <c r="AA487" s="823"/>
    </row>
    <row r="488" spans="1:33" x14ac:dyDescent="0.25">
      <c r="A488" s="1035">
        <v>479</v>
      </c>
      <c r="B488" s="1035" t="s">
        <v>49</v>
      </c>
      <c r="C488" s="1035" t="s">
        <v>150</v>
      </c>
      <c r="I488" s="913"/>
      <c r="J488" s="848"/>
      <c r="K488" s="783"/>
      <c r="L488" s="862"/>
      <c r="M488" s="863"/>
      <c r="N488" s="801"/>
      <c r="O488" s="822"/>
      <c r="P488" s="822"/>
      <c r="Q488" s="822"/>
      <c r="R488" s="822"/>
      <c r="S488" s="822"/>
      <c r="T488" s="822"/>
      <c r="U488" s="822"/>
      <c r="V488" s="822"/>
      <c r="W488" s="822"/>
      <c r="X488" s="822"/>
      <c r="Y488" s="823"/>
      <c r="Z488" s="823"/>
      <c r="AA488" s="823"/>
    </row>
    <row r="489" spans="1:33" x14ac:dyDescent="0.25">
      <c r="A489" s="1035">
        <v>480</v>
      </c>
      <c r="B489" s="1035" t="s">
        <v>49</v>
      </c>
      <c r="C489" s="1035" t="s">
        <v>150</v>
      </c>
      <c r="D489" s="1136" t="s">
        <v>359</v>
      </c>
      <c r="E489" s="1136" t="s">
        <v>977</v>
      </c>
      <c r="F489" s="1136" t="str">
        <f>HLOOKUP(C489,'Assessment References'!$H$512:$BG$513,2,FALSE)</f>
        <v/>
      </c>
      <c r="G489" s="1137"/>
      <c r="H489" s="1138"/>
      <c r="I489" s="913"/>
      <c r="J489" s="848"/>
      <c r="K489" s="783"/>
      <c r="L489" s="862"/>
      <c r="M489" s="863"/>
      <c r="N489" s="801"/>
      <c r="O489" s="822"/>
      <c r="P489" s="822"/>
      <c r="Q489" s="822"/>
      <c r="R489" s="822"/>
      <c r="S489" s="822"/>
      <c r="T489" s="822"/>
      <c r="U489" s="822"/>
      <c r="V489" s="822"/>
      <c r="W489" s="822"/>
      <c r="X489" s="822"/>
      <c r="Y489" s="823"/>
      <c r="Z489" s="823"/>
      <c r="AA489" s="823"/>
    </row>
    <row r="490" spans="1:33" x14ac:dyDescent="0.25">
      <c r="A490" s="1035">
        <v>481</v>
      </c>
      <c r="B490" s="1035" t="s">
        <v>49</v>
      </c>
      <c r="C490" s="1035" t="s">
        <v>150</v>
      </c>
      <c r="D490" s="1363"/>
      <c r="E490" s="1352"/>
      <c r="F490" s="1352"/>
      <c r="G490" s="1352"/>
      <c r="H490" s="1353"/>
      <c r="I490" s="913"/>
      <c r="J490" s="848"/>
      <c r="K490" s="783"/>
      <c r="L490" s="862"/>
      <c r="M490" s="863"/>
      <c r="N490" s="801"/>
      <c r="O490" s="822"/>
      <c r="P490" s="822"/>
      <c r="Q490" s="822"/>
      <c r="R490" s="822"/>
      <c r="S490" s="822"/>
      <c r="T490" s="822"/>
      <c r="U490" s="822"/>
      <c r="V490" s="822"/>
      <c r="W490" s="822"/>
      <c r="X490" s="822"/>
      <c r="Y490" s="823"/>
      <c r="Z490" s="823"/>
      <c r="AA490" s="823"/>
    </row>
    <row r="491" spans="1:33" x14ac:dyDescent="0.25">
      <c r="A491" s="1035">
        <v>482</v>
      </c>
      <c r="B491" s="1035" t="s">
        <v>49</v>
      </c>
      <c r="C491" s="1035" t="s">
        <v>150</v>
      </c>
      <c r="D491" s="1354"/>
      <c r="E491" s="1355"/>
      <c r="F491" s="1355"/>
      <c r="G491" s="1355"/>
      <c r="H491" s="1356"/>
      <c r="I491" s="913"/>
      <c r="J491" s="848"/>
      <c r="K491" s="783"/>
      <c r="L491" s="862"/>
      <c r="M491" s="863"/>
      <c r="N491" s="801"/>
      <c r="O491" s="822"/>
      <c r="P491" s="822"/>
      <c r="Q491" s="822"/>
      <c r="R491" s="822"/>
      <c r="S491" s="822"/>
      <c r="T491" s="822"/>
      <c r="U491" s="822"/>
      <c r="V491" s="822"/>
      <c r="W491" s="822"/>
      <c r="X491" s="822"/>
      <c r="Y491" s="823"/>
      <c r="Z491" s="823"/>
      <c r="AA491" s="823"/>
    </row>
    <row r="492" spans="1:33" x14ac:dyDescent="0.25">
      <c r="A492" s="1035">
        <v>483</v>
      </c>
      <c r="B492" s="1035" t="s">
        <v>49</v>
      </c>
      <c r="C492" s="1035" t="s">
        <v>150</v>
      </c>
      <c r="D492" s="1354"/>
      <c r="E492" s="1355"/>
      <c r="F492" s="1355"/>
      <c r="G492" s="1355"/>
      <c r="H492" s="1356"/>
      <c r="I492" s="913"/>
      <c r="J492" s="848"/>
      <c r="K492" s="783"/>
      <c r="L492" s="862"/>
      <c r="M492" s="863"/>
      <c r="N492" s="801"/>
      <c r="O492" s="822"/>
      <c r="P492" s="822"/>
      <c r="Q492" s="822"/>
      <c r="R492" s="822"/>
      <c r="S492" s="822"/>
      <c r="T492" s="822"/>
      <c r="U492" s="822"/>
      <c r="V492" s="822"/>
      <c r="W492" s="822"/>
      <c r="X492" s="822"/>
      <c r="Y492" s="823"/>
      <c r="Z492" s="823"/>
      <c r="AA492" s="823"/>
    </row>
    <row r="493" spans="1:33" x14ac:dyDescent="0.25">
      <c r="A493" s="1035">
        <v>484</v>
      </c>
      <c r="B493" s="1035" t="s">
        <v>49</v>
      </c>
      <c r="C493" s="1035" t="s">
        <v>150</v>
      </c>
      <c r="D493" s="1364"/>
      <c r="E493" s="1358"/>
      <c r="F493" s="1358"/>
      <c r="G493" s="1358"/>
      <c r="H493" s="1359"/>
      <c r="I493" s="913"/>
      <c r="J493" s="848"/>
      <c r="K493" s="783"/>
      <c r="L493" s="862"/>
      <c r="M493" s="863"/>
      <c r="N493" s="801"/>
      <c r="O493" s="822"/>
      <c r="P493" s="822"/>
      <c r="Q493" s="822"/>
      <c r="R493" s="822"/>
      <c r="S493" s="822"/>
      <c r="T493" s="822"/>
      <c r="U493" s="822"/>
      <c r="V493" s="822"/>
      <c r="W493" s="822"/>
      <c r="X493" s="822"/>
      <c r="Y493" s="823"/>
      <c r="Z493" s="823"/>
      <c r="AA493" s="823"/>
    </row>
    <row r="494" spans="1:33" x14ac:dyDescent="0.25">
      <c r="A494" s="1035">
        <v>485</v>
      </c>
      <c r="B494" s="1035" t="s">
        <v>49</v>
      </c>
      <c r="C494" s="1035" t="s">
        <v>150</v>
      </c>
      <c r="D494" s="1364"/>
      <c r="E494" s="1358"/>
      <c r="F494" s="1358"/>
      <c r="G494" s="1358"/>
      <c r="H494" s="1359"/>
      <c r="I494" s="913"/>
      <c r="J494" s="848"/>
      <c r="K494" s="783"/>
      <c r="L494" s="862"/>
      <c r="M494" s="863"/>
      <c r="N494" s="801"/>
      <c r="O494" s="822"/>
      <c r="P494" s="822"/>
      <c r="Q494" s="822"/>
      <c r="R494" s="822"/>
      <c r="S494" s="822"/>
      <c r="T494" s="822"/>
      <c r="U494" s="822"/>
      <c r="V494" s="822"/>
      <c r="W494" s="822"/>
      <c r="X494" s="822"/>
      <c r="Y494" s="823"/>
      <c r="Z494" s="823"/>
      <c r="AA494" s="823"/>
    </row>
    <row r="495" spans="1:33" x14ac:dyDescent="0.25">
      <c r="A495" s="1035">
        <v>486</v>
      </c>
      <c r="B495" s="1035" t="s">
        <v>49</v>
      </c>
      <c r="C495" s="1035" t="s">
        <v>150</v>
      </c>
      <c r="D495" s="1360"/>
      <c r="E495" s="1361"/>
      <c r="F495" s="1361"/>
      <c r="G495" s="1361"/>
      <c r="H495" s="1362"/>
      <c r="I495" s="913"/>
      <c r="J495" s="848"/>
      <c r="K495" s="783"/>
      <c r="L495" s="862"/>
      <c r="M495" s="863"/>
      <c r="N495" s="801"/>
      <c r="O495" s="822"/>
      <c r="P495" s="822"/>
      <c r="Q495" s="822"/>
      <c r="R495" s="822"/>
      <c r="S495" s="822"/>
      <c r="T495" s="822"/>
      <c r="U495" s="822"/>
      <c r="V495" s="822"/>
      <c r="W495" s="822"/>
      <c r="X495" s="822"/>
      <c r="Y495" s="823"/>
      <c r="Z495" s="823"/>
      <c r="AA495" s="823"/>
    </row>
    <row r="496" spans="1:33" ht="15.75" thickBot="1" x14ac:dyDescent="0.3">
      <c r="A496" s="1035">
        <v>487</v>
      </c>
      <c r="B496" s="1035" t="s">
        <v>49</v>
      </c>
      <c r="C496" s="1035" t="s">
        <v>150</v>
      </c>
      <c r="D496" s="1174"/>
      <c r="E496" s="1175"/>
      <c r="F496" s="1175"/>
      <c r="G496" s="1175"/>
      <c r="H496" s="1175"/>
      <c r="I496" s="913"/>
      <c r="J496" s="848"/>
      <c r="K496" s="783"/>
      <c r="L496" s="862"/>
      <c r="M496" s="863"/>
      <c r="N496" s="801"/>
      <c r="O496" s="822"/>
      <c r="P496" s="822"/>
      <c r="Q496" s="822"/>
      <c r="R496" s="822"/>
      <c r="S496" s="822"/>
      <c r="T496" s="822"/>
      <c r="U496" s="822"/>
      <c r="V496" s="822"/>
      <c r="W496" s="822"/>
      <c r="X496" s="822"/>
      <c r="Y496" s="823"/>
      <c r="Z496" s="823"/>
      <c r="AA496" s="823"/>
    </row>
    <row r="497" spans="1:33" x14ac:dyDescent="0.25">
      <c r="A497" s="1039">
        <v>488</v>
      </c>
      <c r="B497" s="1039" t="s">
        <v>49</v>
      </c>
      <c r="C497" s="827" t="s">
        <v>151</v>
      </c>
      <c r="D497" s="1157" t="s">
        <v>898</v>
      </c>
      <c r="E497" s="1158"/>
      <c r="F497" s="1158"/>
      <c r="G497" s="1159"/>
      <c r="H497" s="1167" t="str">
        <f>IF(Ene06_credits=AIS_credit00,AIS_statement32,"")</f>
        <v>Assessment Issue Not Applicable</v>
      </c>
      <c r="I497" s="824"/>
      <c r="J497" s="824"/>
      <c r="K497" s="783"/>
      <c r="L497" s="809" t="str">
        <f>C497</f>
        <v>Ene 06</v>
      </c>
      <c r="M497" s="863"/>
      <c r="N497" s="801"/>
      <c r="O497" s="822"/>
      <c r="P497" s="822"/>
      <c r="Q497" s="822"/>
      <c r="R497" s="822"/>
      <c r="S497" s="822"/>
      <c r="T497" s="822"/>
      <c r="U497" s="822"/>
      <c r="V497" s="822"/>
      <c r="W497" s="822"/>
      <c r="X497" s="822"/>
      <c r="Y497" s="823"/>
      <c r="Z497" s="823"/>
      <c r="AA497" s="823"/>
    </row>
    <row r="498" spans="1:33" x14ac:dyDescent="0.25">
      <c r="A498" s="1035">
        <v>489</v>
      </c>
      <c r="B498" s="1035" t="s">
        <v>49</v>
      </c>
      <c r="C498" s="1035" t="s">
        <v>151</v>
      </c>
      <c r="D498" s="1107" t="s">
        <v>17</v>
      </c>
      <c r="E498" s="1108">
        <f>Ene06_credits</f>
        <v>0</v>
      </c>
      <c r="F498" s="1109"/>
      <c r="G498" s="1110" t="s">
        <v>85</v>
      </c>
      <c r="H498" s="1111">
        <f>Ene06_11</f>
        <v>0</v>
      </c>
      <c r="I498" s="913"/>
      <c r="J498" s="848"/>
      <c r="K498" s="783"/>
      <c r="L498" s="862"/>
      <c r="M498" s="863"/>
      <c r="N498" s="801"/>
      <c r="O498" s="822"/>
      <c r="P498" s="822"/>
      <c r="Q498" s="822"/>
      <c r="R498" s="822"/>
      <c r="S498" s="822"/>
      <c r="T498" s="822"/>
      <c r="U498" s="822"/>
      <c r="V498" s="822"/>
      <c r="W498" s="822"/>
      <c r="X498" s="822"/>
      <c r="Y498" s="823"/>
      <c r="Z498" s="823"/>
      <c r="AA498" s="823"/>
    </row>
    <row r="499" spans="1:33" x14ac:dyDescent="0.25">
      <c r="A499" s="1035">
        <v>490</v>
      </c>
      <c r="B499" s="1035" t="s">
        <v>49</v>
      </c>
      <c r="C499" s="1035" t="s">
        <v>151</v>
      </c>
      <c r="D499" s="1112" t="s">
        <v>349</v>
      </c>
      <c r="E499" s="1113">
        <v>0</v>
      </c>
      <c r="F499" s="1114"/>
      <c r="G499" s="1115" t="s">
        <v>350</v>
      </c>
      <c r="H499" s="1116" t="s">
        <v>15</v>
      </c>
      <c r="I499" s="913"/>
      <c r="J499" s="848"/>
      <c r="K499" s="783"/>
      <c r="L499" s="862"/>
      <c r="M499" s="863"/>
      <c r="N499" s="801"/>
      <c r="O499" s="822"/>
      <c r="P499" s="822"/>
      <c r="Q499" s="822"/>
      <c r="R499" s="822"/>
      <c r="S499" s="822"/>
      <c r="T499" s="822"/>
      <c r="U499" s="822"/>
      <c r="V499" s="822"/>
      <c r="W499" s="822"/>
      <c r="X499" s="822"/>
      <c r="Y499" s="823"/>
      <c r="Z499" s="823"/>
      <c r="AA499" s="823"/>
    </row>
    <row r="500" spans="1:33" x14ac:dyDescent="0.25">
      <c r="A500" s="1035">
        <v>491</v>
      </c>
      <c r="B500" s="1035" t="s">
        <v>49</v>
      </c>
      <c r="C500" s="1035" t="s">
        <v>151</v>
      </c>
      <c r="I500" s="913"/>
      <c r="J500" s="848"/>
      <c r="K500" s="783"/>
      <c r="L500" s="862"/>
      <c r="M500" s="863"/>
      <c r="N500" s="801"/>
      <c r="O500" s="822"/>
      <c r="P500" s="822"/>
      <c r="Q500" s="822"/>
      <c r="R500" s="822"/>
      <c r="S500" s="822"/>
      <c r="T500" s="822"/>
      <c r="U500" s="822"/>
      <c r="V500" s="822"/>
      <c r="W500" s="822"/>
      <c r="X500" s="822"/>
      <c r="Y500" s="823"/>
      <c r="Z500" s="823"/>
      <c r="AA500" s="823"/>
    </row>
    <row r="501" spans="1:33" ht="15.75" thickBot="1" x14ac:dyDescent="0.3">
      <c r="A501" s="1035">
        <v>492</v>
      </c>
      <c r="B501" s="1035" t="s">
        <v>49</v>
      </c>
      <c r="C501" s="1035" t="s">
        <v>151</v>
      </c>
      <c r="D501" s="1117" t="s">
        <v>351</v>
      </c>
      <c r="E501" s="1118" t="s">
        <v>352</v>
      </c>
      <c r="F501" s="1118" t="s">
        <v>353</v>
      </c>
      <c r="G501" s="1118" t="s">
        <v>354</v>
      </c>
      <c r="H501" s="1118" t="s">
        <v>355</v>
      </c>
      <c r="I501" s="913"/>
      <c r="J501" s="848"/>
      <c r="K501" s="783"/>
      <c r="L501" s="862"/>
      <c r="M501" s="863"/>
      <c r="N501" s="801"/>
      <c r="O501" s="822"/>
      <c r="P501" s="822"/>
      <c r="Q501" s="822"/>
      <c r="R501" s="822"/>
      <c r="S501" s="822"/>
      <c r="T501" s="822"/>
      <c r="U501" s="822"/>
      <c r="V501" s="822"/>
      <c r="W501" s="822"/>
      <c r="X501" s="822"/>
      <c r="Y501" s="823"/>
      <c r="Z501" s="823"/>
      <c r="AA501" s="823"/>
    </row>
    <row r="502" spans="1:33" ht="15.75" thickBot="1" x14ac:dyDescent="0.3">
      <c r="A502" s="1035">
        <v>493</v>
      </c>
      <c r="B502" s="1035" t="s">
        <v>49</v>
      </c>
      <c r="C502" s="1035" t="s">
        <v>151</v>
      </c>
      <c r="D502" s="1119" t="s">
        <v>817</v>
      </c>
      <c r="E502" s="1093" t="s">
        <v>360</v>
      </c>
      <c r="F502" s="1120">
        <f>IF(E498=0,0,1)</f>
        <v>0</v>
      </c>
      <c r="G502" s="1120">
        <f>IF(E502=AIS_Yes,F502,0)*IF(U502=AIS_No,1,IF(H502=AA502,R502,IF(H502=AB502,S502,IF(H502=AC502,T502,1))))</f>
        <v>0</v>
      </c>
      <c r="H502" s="1331" t="s">
        <v>16</v>
      </c>
      <c r="I502" s="913"/>
      <c r="J502" s="848"/>
      <c r="K502" s="783"/>
      <c r="L502" s="862"/>
      <c r="M502" s="863"/>
      <c r="N502" s="801"/>
      <c r="O502" s="1266">
        <v>1</v>
      </c>
      <c r="P502" s="1266">
        <v>0</v>
      </c>
      <c r="Q502" s="1267">
        <v>1</v>
      </c>
      <c r="R502" s="1258" t="str">
        <f t="shared" ref="R502:R503" si="42">IF($T$4=AIS_Yes,O502,AIS_NA)</f>
        <v>N/A</v>
      </c>
      <c r="S502" s="1259" t="str">
        <f t="shared" ref="S502:S503" si="43">IF($T$4=AIS_Yes,P502,AIS_NA)</f>
        <v>N/A</v>
      </c>
      <c r="T502" s="1074" t="str">
        <f t="shared" ref="T502:T503" si="44">IF($T$4=AIS_Yes,Q502,AIS_NA)</f>
        <v>N/A</v>
      </c>
      <c r="U502" s="1265" t="str">
        <f>IF(AND($T$4=AIS_Yes,OR(R502&lt;&gt;AIS_NA,S502&lt;&gt;AIS_NA,T502&lt;&gt;AIS_NA)),AIS_Yes,AIS_No)</f>
        <v>No</v>
      </c>
      <c r="V502" s="1258" t="str">
        <f>AIS_option01</f>
        <v>N/A</v>
      </c>
      <c r="W502" s="1259" t="str">
        <f>AIS_option02a</f>
        <v>N/A</v>
      </c>
      <c r="X502" s="1272" t="str">
        <f>AIS_option03</f>
        <v>N/A</v>
      </c>
      <c r="Y502" s="1273"/>
      <c r="Z502" s="1282" t="str">
        <f>AIS_NA</f>
        <v>N/A</v>
      </c>
      <c r="AA502" s="1274" t="str">
        <f>IF(U502=AIS_Yes,V502,AIS_NA)</f>
        <v>N/A</v>
      </c>
      <c r="AB502" s="1274" t="str">
        <f>IF(U502=AIS_Yes,W502,AIS_NA)</f>
        <v>N/A</v>
      </c>
      <c r="AC502" s="1275" t="str">
        <f>IF(U502=AIS_Yes,X502,AIS_NA)</f>
        <v>N/A</v>
      </c>
      <c r="AD502" s="1276" t="str">
        <f>C502</f>
        <v>Ene 06</v>
      </c>
      <c r="AE502" s="1262" t="str">
        <f>D502</f>
        <v>Transportation system analysis and strategy. The system/strategy with the lowest energy consumption is specified</v>
      </c>
      <c r="AF502" s="1263" t="str">
        <f>H502</f>
        <v>N/A</v>
      </c>
      <c r="AG502" s="768">
        <f>IF(U502=AIS_No,1,IF(H502=AA502,R502,IF(H502=AB502,S502,IF(H502=AC502,T502,1))))</f>
        <v>1</v>
      </c>
    </row>
    <row r="503" spans="1:33" ht="15.75" thickBot="1" x14ac:dyDescent="0.3">
      <c r="A503" s="1035">
        <v>494</v>
      </c>
      <c r="B503" s="1035" t="s">
        <v>49</v>
      </c>
      <c r="C503" s="1035" t="s">
        <v>151</v>
      </c>
      <c r="D503" s="1123" t="s">
        <v>404</v>
      </c>
      <c r="E503" s="1092" t="s">
        <v>360</v>
      </c>
      <c r="F503" s="1124">
        <f>IF(AND(E498&lt;&gt;0,E502=AIS_Yes),1,0)</f>
        <v>0</v>
      </c>
      <c r="G503" s="1124">
        <f>IF(E503=AIS_Yes,F503,0)*IF(U503=AIS_No,1,IF(H503=AA503,R503,IF(H503=AB503,S503,IF(H503=AC503,T503,1))))</f>
        <v>0</v>
      </c>
      <c r="H503" s="1319" t="s">
        <v>16</v>
      </c>
      <c r="I503" s="824"/>
      <c r="J503" s="824"/>
      <c r="K503" s="783"/>
      <c r="L503" s="862"/>
      <c r="M503" s="863"/>
      <c r="N503" s="801"/>
      <c r="O503" s="1266">
        <v>1</v>
      </c>
      <c r="P503" s="1266">
        <v>0</v>
      </c>
      <c r="Q503" s="1267">
        <v>1</v>
      </c>
      <c r="R503" s="1258" t="str">
        <f t="shared" si="42"/>
        <v>N/A</v>
      </c>
      <c r="S503" s="1259" t="str">
        <f t="shared" si="43"/>
        <v>N/A</v>
      </c>
      <c r="T503" s="1074" t="str">
        <f t="shared" si="44"/>
        <v>N/A</v>
      </c>
      <c r="U503" s="1265" t="str">
        <f>IF(AND($T$4=AIS_Yes,OR(R503&lt;&gt;AIS_NA,S503&lt;&gt;AIS_NA,T503&lt;&gt;AIS_NA)),AIS_Yes,AIS_No)</f>
        <v>No</v>
      </c>
      <c r="V503" s="1258" t="str">
        <f>AIS_option01</f>
        <v>N/A</v>
      </c>
      <c r="W503" s="1259" t="str">
        <f>AIS_option02a</f>
        <v>N/A</v>
      </c>
      <c r="X503" s="1272" t="str">
        <f>AIS_option03</f>
        <v>N/A</v>
      </c>
      <c r="Y503" s="1273"/>
      <c r="Z503" s="1282" t="str">
        <f>AIS_NA</f>
        <v>N/A</v>
      </c>
      <c r="AA503" s="1274" t="str">
        <f>IF(U503=AIS_Yes,V503,AIS_NA)</f>
        <v>N/A</v>
      </c>
      <c r="AB503" s="1274" t="str">
        <f>IF(U503=AIS_Yes,W503,AIS_NA)</f>
        <v>N/A</v>
      </c>
      <c r="AC503" s="1275" t="str">
        <f>IF(U503=AIS_Yes,X503,AIS_NA)</f>
        <v>N/A</v>
      </c>
      <c r="AD503" s="1276" t="str">
        <f>C503</f>
        <v>Ene 06</v>
      </c>
      <c r="AE503" s="1262" t="str">
        <f>D503</f>
        <v>Energy efficient transportation features</v>
      </c>
      <c r="AF503" s="1263" t="str">
        <f>H503</f>
        <v>N/A</v>
      </c>
      <c r="AG503" s="768">
        <f>IF(U503=AIS_No,1,IF(H503=AA503,R503,IF(H503=AB503,S503,IF(H503=AC503,T503,1))))</f>
        <v>1</v>
      </c>
    </row>
    <row r="504" spans="1:33" x14ac:dyDescent="0.25">
      <c r="A504" s="1035">
        <v>495</v>
      </c>
      <c r="B504" s="1035" t="s">
        <v>49</v>
      </c>
      <c r="C504" s="1035" t="s">
        <v>151</v>
      </c>
      <c r="I504" s="913"/>
      <c r="J504" s="848"/>
      <c r="K504" s="783"/>
      <c r="L504" s="862"/>
      <c r="M504" s="863"/>
      <c r="N504" s="801"/>
      <c r="O504" s="822"/>
      <c r="P504" s="822"/>
      <c r="Q504" s="822"/>
      <c r="R504" s="822"/>
      <c r="S504" s="822"/>
      <c r="T504" s="822"/>
      <c r="U504" s="822"/>
      <c r="V504" s="822"/>
      <c r="W504" s="822"/>
      <c r="X504" s="822"/>
      <c r="Y504" s="823"/>
      <c r="Z504" s="823"/>
      <c r="AA504" s="823"/>
    </row>
    <row r="505" spans="1:33" x14ac:dyDescent="0.25">
      <c r="A505" s="1035">
        <v>496</v>
      </c>
      <c r="B505" s="1035" t="s">
        <v>49</v>
      </c>
      <c r="C505" s="1035" t="s">
        <v>151</v>
      </c>
      <c r="D505" s="1127" t="s">
        <v>356</v>
      </c>
      <c r="E505" s="1278">
        <f>IF((G502+G503)&gt;E498,E498,G502+G503)</f>
        <v>0</v>
      </c>
      <c r="I505" s="1029"/>
      <c r="J505" s="848"/>
      <c r="K505" s="783"/>
      <c r="L505" s="862"/>
      <c r="M505" s="863"/>
      <c r="N505" s="801"/>
      <c r="O505" s="822"/>
      <c r="P505" s="822"/>
      <c r="Q505" s="822"/>
      <c r="R505" s="822"/>
      <c r="S505" s="822"/>
      <c r="T505" s="822"/>
      <c r="U505" s="822"/>
      <c r="V505" s="822"/>
      <c r="W505" s="822"/>
      <c r="X505" s="822"/>
      <c r="Y505" s="823"/>
      <c r="Z505" s="823"/>
      <c r="AA505" s="823"/>
    </row>
    <row r="506" spans="1:33" x14ac:dyDescent="0.25">
      <c r="A506" s="1035">
        <v>497</v>
      </c>
      <c r="B506" s="1035" t="s">
        <v>49</v>
      </c>
      <c r="C506" s="1035" t="s">
        <v>151</v>
      </c>
      <c r="D506" s="1129" t="s">
        <v>86</v>
      </c>
      <c r="E506" s="1130">
        <f>Ene06_12</f>
        <v>0</v>
      </c>
      <c r="I506" s="913"/>
      <c r="J506" s="848"/>
      <c r="K506" s="783"/>
      <c r="L506" s="862"/>
      <c r="M506" s="863"/>
      <c r="N506" s="801"/>
      <c r="O506" s="822"/>
      <c r="P506" s="822"/>
      <c r="Q506" s="822"/>
      <c r="R506" s="822"/>
      <c r="S506" s="822"/>
      <c r="T506" s="822"/>
      <c r="U506" s="822"/>
      <c r="V506" s="822"/>
      <c r="W506" s="822"/>
      <c r="X506" s="822"/>
      <c r="Y506" s="823"/>
      <c r="Z506" s="823"/>
      <c r="AA506" s="823"/>
    </row>
    <row r="507" spans="1:33" x14ac:dyDescent="0.25">
      <c r="A507" s="1035">
        <v>498</v>
      </c>
      <c r="B507" s="1035" t="s">
        <v>49</v>
      </c>
      <c r="C507" s="1035" t="s">
        <v>151</v>
      </c>
      <c r="D507" s="1131" t="s">
        <v>357</v>
      </c>
      <c r="E507" s="1128" t="s">
        <v>16</v>
      </c>
      <c r="I507" s="913"/>
      <c r="J507" s="848"/>
      <c r="K507" s="783"/>
      <c r="L507" s="862"/>
      <c r="M507" s="863"/>
      <c r="N507" s="801"/>
      <c r="O507" s="822"/>
      <c r="P507" s="822"/>
      <c r="Q507" s="822"/>
      <c r="R507" s="822"/>
      <c r="S507" s="822"/>
      <c r="T507" s="822"/>
      <c r="U507" s="822"/>
      <c r="V507" s="822"/>
      <c r="W507" s="822"/>
      <c r="X507" s="822"/>
      <c r="Y507" s="823"/>
      <c r="Z507" s="823"/>
      <c r="AA507" s="823"/>
    </row>
    <row r="508" spans="1:33" x14ac:dyDescent="0.25">
      <c r="A508" s="1035">
        <v>499</v>
      </c>
      <c r="B508" s="1035" t="s">
        <v>49</v>
      </c>
      <c r="C508" s="1035" t="s">
        <v>151</v>
      </c>
      <c r="D508" s="1132" t="s">
        <v>55</v>
      </c>
      <c r="E508" s="1133" t="s">
        <v>16</v>
      </c>
      <c r="F508" s="1134"/>
      <c r="G508" s="1135"/>
      <c r="I508" s="913"/>
      <c r="J508" s="848"/>
      <c r="K508" s="783"/>
      <c r="L508" s="862"/>
      <c r="M508" s="863"/>
      <c r="N508" s="801"/>
      <c r="O508" s="822"/>
      <c r="P508" s="822"/>
      <c r="Q508" s="822"/>
      <c r="R508" s="822"/>
      <c r="S508" s="822"/>
      <c r="T508" s="822"/>
      <c r="U508" s="822"/>
      <c r="V508" s="822"/>
      <c r="W508" s="822"/>
      <c r="X508" s="822"/>
      <c r="Y508" s="823"/>
      <c r="Z508" s="823"/>
      <c r="AA508" s="823"/>
    </row>
    <row r="509" spans="1:33" x14ac:dyDescent="0.25">
      <c r="A509" s="1035">
        <v>500</v>
      </c>
      <c r="B509" s="1035" t="s">
        <v>49</v>
      </c>
      <c r="C509" s="1035" t="s">
        <v>151</v>
      </c>
      <c r="I509" s="913"/>
      <c r="J509" s="848"/>
      <c r="K509" s="783"/>
      <c r="L509" s="862"/>
      <c r="M509" s="863"/>
      <c r="N509" s="801"/>
      <c r="O509" s="822"/>
      <c r="P509" s="822"/>
      <c r="Q509" s="822"/>
      <c r="R509" s="822"/>
      <c r="S509" s="822"/>
      <c r="T509" s="822"/>
      <c r="U509" s="822"/>
      <c r="V509" s="822"/>
      <c r="W509" s="822"/>
      <c r="X509" s="822"/>
      <c r="Y509" s="823"/>
      <c r="Z509" s="823"/>
      <c r="AA509" s="823"/>
    </row>
    <row r="510" spans="1:33" x14ac:dyDescent="0.25">
      <c r="A510" s="1035">
        <v>501</v>
      </c>
      <c r="B510" s="1035" t="s">
        <v>49</v>
      </c>
      <c r="C510" s="1035" t="s">
        <v>151</v>
      </c>
      <c r="D510" s="1136" t="s">
        <v>359</v>
      </c>
      <c r="E510" s="1136" t="s">
        <v>977</v>
      </c>
      <c r="F510" s="1136" t="str">
        <f>HLOOKUP(C510,'Assessment References'!$H$512:$BG$513,2,FALSE)</f>
        <v/>
      </c>
      <c r="G510" s="1137"/>
      <c r="H510" s="1138"/>
      <c r="I510" s="913"/>
      <c r="J510" s="848"/>
      <c r="K510" s="783"/>
      <c r="L510" s="862"/>
      <c r="M510" s="863"/>
      <c r="N510" s="801"/>
      <c r="O510" s="822"/>
      <c r="P510" s="822"/>
      <c r="Q510" s="822"/>
      <c r="R510" s="822"/>
      <c r="S510" s="822"/>
      <c r="T510" s="822"/>
      <c r="U510" s="822"/>
      <c r="V510" s="822"/>
      <c r="W510" s="822"/>
      <c r="X510" s="822"/>
      <c r="Y510" s="823"/>
      <c r="Z510" s="823"/>
      <c r="AA510" s="823"/>
    </row>
    <row r="511" spans="1:33" x14ac:dyDescent="0.25">
      <c r="A511" s="1035">
        <v>502</v>
      </c>
      <c r="B511" s="1035" t="s">
        <v>49</v>
      </c>
      <c r="C511" s="1035" t="s">
        <v>151</v>
      </c>
      <c r="D511" s="1363"/>
      <c r="E511" s="1352"/>
      <c r="F511" s="1352"/>
      <c r="G511" s="1352"/>
      <c r="H511" s="1353"/>
      <c r="I511" s="913"/>
      <c r="J511" s="848"/>
      <c r="K511" s="783"/>
      <c r="L511" s="862"/>
      <c r="M511" s="863"/>
      <c r="N511" s="801"/>
      <c r="O511" s="822"/>
      <c r="P511" s="822"/>
      <c r="Q511" s="822"/>
      <c r="R511" s="822"/>
      <c r="S511" s="822"/>
      <c r="T511" s="822"/>
      <c r="U511" s="822"/>
      <c r="V511" s="822"/>
      <c r="W511" s="822"/>
      <c r="X511" s="822"/>
      <c r="Y511" s="823"/>
      <c r="Z511" s="823"/>
      <c r="AA511" s="823"/>
    </row>
    <row r="512" spans="1:33" x14ac:dyDescent="0.25">
      <c r="A512" s="1035">
        <v>503</v>
      </c>
      <c r="B512" s="1035" t="s">
        <v>49</v>
      </c>
      <c r="C512" s="1035" t="s">
        <v>151</v>
      </c>
      <c r="D512" s="1354"/>
      <c r="E512" s="1355"/>
      <c r="F512" s="1355"/>
      <c r="G512" s="1355"/>
      <c r="H512" s="1356"/>
      <c r="I512" s="913"/>
      <c r="J512" s="848"/>
      <c r="K512" s="783"/>
      <c r="L512" s="862"/>
      <c r="M512" s="863"/>
      <c r="N512" s="801"/>
      <c r="O512" s="822"/>
      <c r="P512" s="822"/>
      <c r="Q512" s="822"/>
      <c r="R512" s="822"/>
      <c r="S512" s="822"/>
      <c r="T512" s="822"/>
      <c r="U512" s="822"/>
      <c r="V512" s="822"/>
      <c r="W512" s="822"/>
      <c r="X512" s="822"/>
      <c r="Y512" s="823"/>
      <c r="Z512" s="823"/>
      <c r="AA512" s="823"/>
    </row>
    <row r="513" spans="1:27" x14ac:dyDescent="0.25">
      <c r="A513" s="1035">
        <v>504</v>
      </c>
      <c r="B513" s="1035" t="s">
        <v>49</v>
      </c>
      <c r="C513" s="1035" t="s">
        <v>151</v>
      </c>
      <c r="D513" s="1354"/>
      <c r="E513" s="1355"/>
      <c r="F513" s="1355"/>
      <c r="G513" s="1355"/>
      <c r="H513" s="1356"/>
      <c r="I513" s="913"/>
      <c r="J513" s="848"/>
      <c r="K513" s="783"/>
      <c r="L513" s="862"/>
      <c r="M513" s="863"/>
      <c r="N513" s="801"/>
      <c r="O513" s="822"/>
      <c r="P513" s="822"/>
      <c r="Q513" s="822"/>
      <c r="R513" s="822"/>
      <c r="S513" s="822"/>
      <c r="T513" s="822"/>
      <c r="U513" s="822"/>
      <c r="V513" s="822"/>
      <c r="W513" s="822"/>
      <c r="X513" s="822"/>
      <c r="Y513" s="823"/>
      <c r="Z513" s="823"/>
      <c r="AA513" s="823"/>
    </row>
    <row r="514" spans="1:27" x14ac:dyDescent="0.25">
      <c r="A514" s="1035">
        <v>505</v>
      </c>
      <c r="B514" s="1035" t="s">
        <v>49</v>
      </c>
      <c r="C514" s="1035" t="s">
        <v>151</v>
      </c>
      <c r="D514" s="1364"/>
      <c r="E514" s="1358"/>
      <c r="F514" s="1358"/>
      <c r="G514" s="1358"/>
      <c r="H514" s="1359"/>
      <c r="I514" s="913"/>
      <c r="J514" s="848"/>
      <c r="K514" s="783"/>
      <c r="L514" s="862"/>
      <c r="M514" s="863"/>
      <c r="N514" s="801"/>
      <c r="O514" s="822"/>
      <c r="P514" s="822"/>
      <c r="Q514" s="822"/>
      <c r="R514" s="822"/>
      <c r="S514" s="822"/>
      <c r="T514" s="822"/>
      <c r="U514" s="822"/>
      <c r="V514" s="822"/>
      <c r="W514" s="822"/>
      <c r="X514" s="822"/>
      <c r="Y514" s="823"/>
      <c r="Z514" s="823"/>
      <c r="AA514" s="823"/>
    </row>
    <row r="515" spans="1:27" x14ac:dyDescent="0.25">
      <c r="A515" s="1035">
        <v>506</v>
      </c>
      <c r="B515" s="1035" t="s">
        <v>49</v>
      </c>
      <c r="C515" s="1035" t="s">
        <v>151</v>
      </c>
      <c r="D515" s="1364"/>
      <c r="E515" s="1358"/>
      <c r="F515" s="1358"/>
      <c r="G515" s="1358"/>
      <c r="H515" s="1359"/>
      <c r="I515" s="913"/>
      <c r="J515" s="848"/>
      <c r="K515" s="783"/>
      <c r="L515" s="862"/>
      <c r="M515" s="863"/>
      <c r="N515" s="801"/>
      <c r="O515" s="822"/>
      <c r="P515" s="822"/>
      <c r="Q515" s="822"/>
      <c r="R515" s="822"/>
      <c r="S515" s="822"/>
      <c r="T515" s="822"/>
      <c r="U515" s="822"/>
      <c r="V515" s="822"/>
      <c r="W515" s="822"/>
      <c r="X515" s="822"/>
      <c r="Y515" s="823"/>
      <c r="Z515" s="823"/>
      <c r="AA515" s="823"/>
    </row>
    <row r="516" spans="1:27" x14ac:dyDescent="0.25">
      <c r="A516" s="1035">
        <v>507</v>
      </c>
      <c r="B516" s="1035" t="s">
        <v>49</v>
      </c>
      <c r="C516" s="1035" t="s">
        <v>151</v>
      </c>
      <c r="D516" s="1360"/>
      <c r="E516" s="1361"/>
      <c r="F516" s="1361"/>
      <c r="G516" s="1361"/>
      <c r="H516" s="1362"/>
      <c r="I516" s="913"/>
      <c r="J516" s="848"/>
      <c r="K516" s="783"/>
      <c r="L516" s="862"/>
      <c r="M516" s="863"/>
      <c r="N516" s="801"/>
      <c r="O516" s="822"/>
      <c r="P516" s="822"/>
      <c r="Q516" s="822"/>
      <c r="R516" s="822"/>
      <c r="S516" s="822"/>
      <c r="T516" s="822"/>
      <c r="U516" s="822"/>
      <c r="V516" s="822"/>
      <c r="W516" s="822"/>
      <c r="X516" s="822"/>
      <c r="Y516" s="823"/>
      <c r="Z516" s="823"/>
      <c r="AA516" s="823"/>
    </row>
    <row r="517" spans="1:27" ht="15.75" thickBot="1" x14ac:dyDescent="0.3">
      <c r="A517" s="1035">
        <v>508</v>
      </c>
      <c r="B517" s="1035" t="s">
        <v>49</v>
      </c>
      <c r="C517" s="1035" t="s">
        <v>151</v>
      </c>
      <c r="D517" s="1174"/>
      <c r="E517" s="1175"/>
      <c r="F517" s="1175"/>
      <c r="G517" s="1175"/>
      <c r="H517" s="1175"/>
      <c r="I517" s="913"/>
      <c r="J517" s="848"/>
      <c r="K517" s="783"/>
      <c r="L517" s="862"/>
      <c r="M517" s="863"/>
      <c r="N517" s="801"/>
      <c r="O517" s="822"/>
      <c r="P517" s="822"/>
      <c r="Q517" s="822"/>
      <c r="R517" s="822"/>
      <c r="S517" s="822"/>
      <c r="T517" s="822"/>
      <c r="U517" s="822"/>
      <c r="V517" s="822"/>
      <c r="W517" s="822"/>
      <c r="X517" s="822"/>
      <c r="Y517" s="823"/>
      <c r="Z517" s="823"/>
      <c r="AA517" s="823"/>
    </row>
    <row r="518" spans="1:27" x14ac:dyDescent="0.25">
      <c r="A518" s="1037">
        <v>509</v>
      </c>
      <c r="B518" s="1037" t="s">
        <v>49</v>
      </c>
      <c r="C518" s="802" t="s">
        <v>152</v>
      </c>
      <c r="D518" s="1162" t="s">
        <v>899</v>
      </c>
      <c r="E518" s="1158"/>
      <c r="F518" s="1158"/>
      <c r="G518" s="1159"/>
      <c r="H518" s="1167" t="str">
        <f>IF(Ene07_credits=AIS_credit00,AIS_statement32,"")</f>
        <v>Assessment Issue Not Applicable</v>
      </c>
      <c r="I518" s="913"/>
      <c r="J518" s="848"/>
      <c r="K518" s="783"/>
      <c r="L518" s="809" t="str">
        <f>C518</f>
        <v>Ene 07</v>
      </c>
      <c r="M518" s="863"/>
      <c r="N518" s="801"/>
      <c r="O518" s="1281" t="s">
        <v>1280</v>
      </c>
      <c r="P518" s="822"/>
      <c r="Q518" s="822"/>
      <c r="R518" s="822"/>
      <c r="S518" s="822"/>
      <c r="T518" s="822"/>
      <c r="U518" s="822"/>
      <c r="V518" s="822"/>
      <c r="W518" s="822"/>
      <c r="X518" s="822"/>
      <c r="Y518" s="823"/>
      <c r="Z518" s="823"/>
      <c r="AA518" s="823"/>
    </row>
    <row r="519" spans="1:27" x14ac:dyDescent="0.25">
      <c r="A519" s="1035">
        <v>510</v>
      </c>
      <c r="B519" s="1035" t="s">
        <v>49</v>
      </c>
      <c r="C519" s="1035" t="s">
        <v>152</v>
      </c>
      <c r="D519" s="1107" t="s">
        <v>17</v>
      </c>
      <c r="E519" s="1108">
        <f>Ene07_credits</f>
        <v>0</v>
      </c>
      <c r="F519" s="1109"/>
      <c r="G519" s="1110" t="s">
        <v>85</v>
      </c>
      <c r="H519" s="1111">
        <f>Ene07_24</f>
        <v>0</v>
      </c>
      <c r="I519" s="1043"/>
      <c r="J519" s="864"/>
      <c r="K519" s="865"/>
      <c r="L519" s="862"/>
      <c r="M519" s="863"/>
      <c r="N519" s="801"/>
      <c r="O519" s="822"/>
      <c r="P519" s="822"/>
      <c r="Q519" s="822"/>
      <c r="R519" s="822"/>
      <c r="S519" s="822"/>
      <c r="T519" s="822"/>
      <c r="U519" s="822"/>
      <c r="V519" s="822"/>
      <c r="W519" s="822"/>
      <c r="X519" s="822"/>
      <c r="Y519" s="823"/>
      <c r="Z519" s="823"/>
      <c r="AA519" s="823"/>
    </row>
    <row r="520" spans="1:27" x14ac:dyDescent="0.25">
      <c r="A520" s="1035">
        <v>511</v>
      </c>
      <c r="B520" s="1035" t="s">
        <v>49</v>
      </c>
      <c r="C520" s="1035" t="s">
        <v>152</v>
      </c>
      <c r="D520" s="1112" t="s">
        <v>349</v>
      </c>
      <c r="E520" s="1113">
        <v>0</v>
      </c>
      <c r="F520" s="1114"/>
      <c r="G520" s="1115" t="s">
        <v>350</v>
      </c>
      <c r="H520" s="1116" t="s">
        <v>15</v>
      </c>
      <c r="I520" s="913"/>
      <c r="J520" s="848"/>
      <c r="K520" s="865"/>
      <c r="L520" s="862"/>
      <c r="M520" s="863"/>
      <c r="N520" s="801"/>
      <c r="O520" s="822"/>
      <c r="P520" s="822"/>
      <c r="Q520" s="822"/>
      <c r="R520" s="822"/>
      <c r="S520" s="822"/>
      <c r="T520" s="822"/>
      <c r="U520" s="822"/>
      <c r="V520" s="822"/>
      <c r="W520" s="822"/>
      <c r="X520" s="822"/>
      <c r="Y520" s="823"/>
      <c r="Z520" s="823"/>
      <c r="AA520" s="823"/>
    </row>
    <row r="521" spans="1:27" x14ac:dyDescent="0.25">
      <c r="A521" s="1035">
        <v>512</v>
      </c>
      <c r="B521" s="1035" t="s">
        <v>49</v>
      </c>
      <c r="C521" s="1035" t="s">
        <v>152</v>
      </c>
      <c r="I521" s="913"/>
      <c r="J521" s="848"/>
      <c r="K521" s="865"/>
      <c r="L521" s="862"/>
      <c r="M521" s="863"/>
      <c r="N521" s="801"/>
      <c r="O521" s="822"/>
      <c r="P521" s="822"/>
      <c r="Q521" s="822"/>
      <c r="R521" s="822"/>
      <c r="S521" s="822"/>
      <c r="T521" s="822"/>
      <c r="U521" s="822"/>
      <c r="V521" s="822"/>
      <c r="W521" s="822"/>
      <c r="X521" s="822"/>
      <c r="Y521" s="823"/>
      <c r="Z521" s="823"/>
      <c r="AA521" s="823"/>
    </row>
    <row r="522" spans="1:27" ht="15.75" thickBot="1" x14ac:dyDescent="0.3">
      <c r="A522" s="1035">
        <v>513</v>
      </c>
      <c r="B522" s="1035" t="s">
        <v>49</v>
      </c>
      <c r="C522" s="1035" t="s">
        <v>152</v>
      </c>
      <c r="D522" s="1117" t="s">
        <v>821</v>
      </c>
      <c r="E522" s="1118" t="s">
        <v>352</v>
      </c>
      <c r="I522" s="913"/>
      <c r="J522" s="848"/>
      <c r="K522" s="865"/>
      <c r="L522" s="862"/>
      <c r="M522" s="863"/>
      <c r="N522" s="801"/>
      <c r="O522" s="822"/>
      <c r="P522" s="822"/>
      <c r="Q522" s="822"/>
      <c r="R522" s="822"/>
      <c r="S522" s="822"/>
      <c r="T522" s="822"/>
      <c r="U522" s="822"/>
      <c r="V522" s="822"/>
      <c r="W522" s="822"/>
      <c r="X522" s="822"/>
      <c r="Y522" s="823"/>
      <c r="Z522" s="823"/>
      <c r="AA522" s="823"/>
    </row>
    <row r="523" spans="1:27" ht="15.75" thickBot="1" x14ac:dyDescent="0.3">
      <c r="A523" s="1035">
        <v>514</v>
      </c>
      <c r="B523" s="1035" t="s">
        <v>49</v>
      </c>
      <c r="C523" s="1035" t="s">
        <v>152</v>
      </c>
      <c r="D523" s="1142" t="s">
        <v>1149</v>
      </c>
      <c r="E523" s="1176" t="str">
        <f>IF(E202=AIS_PS,"Select Yes in Hea 02",E202)</f>
        <v>Select Yes in Hea 02</v>
      </c>
      <c r="F523" s="1145" t="str">
        <f>IF(OR(E202=AIS_No,E202=AIS_PS),"Pre-requisite: Please select yes","")</f>
        <v>Pre-requisite: Please select yes</v>
      </c>
      <c r="I523" s="913"/>
      <c r="J523" s="848"/>
      <c r="K523" s="865"/>
      <c r="L523" s="862"/>
      <c r="M523" s="863"/>
      <c r="N523" s="801"/>
      <c r="O523" s="822"/>
      <c r="P523" s="822"/>
      <c r="Q523" s="822"/>
      <c r="R523" s="822"/>
      <c r="S523" s="822"/>
      <c r="T523" s="822"/>
      <c r="U523" s="822"/>
      <c r="V523" s="822"/>
      <c r="W523" s="822"/>
      <c r="X523" s="822"/>
      <c r="Y523" s="823"/>
      <c r="Z523" s="823"/>
      <c r="AA523" s="823"/>
    </row>
    <row r="524" spans="1:27" x14ac:dyDescent="0.25">
      <c r="A524" s="1035">
        <v>515</v>
      </c>
      <c r="B524" s="1035" t="s">
        <v>49</v>
      </c>
      <c r="C524" s="1035" t="s">
        <v>152</v>
      </c>
      <c r="I524" s="913"/>
      <c r="J524" s="848"/>
      <c r="K524" s="865"/>
      <c r="L524" s="862"/>
      <c r="M524" s="863"/>
      <c r="N524" s="801"/>
      <c r="O524" s="822"/>
      <c r="P524" s="822"/>
      <c r="Q524" s="822"/>
      <c r="R524" s="822"/>
      <c r="S524" s="822"/>
      <c r="T524" s="822"/>
      <c r="U524" s="822"/>
      <c r="V524" s="822"/>
      <c r="W524" s="822"/>
      <c r="X524" s="822"/>
      <c r="Y524" s="823"/>
      <c r="Z524" s="823"/>
      <c r="AA524" s="823"/>
    </row>
    <row r="525" spans="1:27" ht="15.75" thickBot="1" x14ac:dyDescent="0.3">
      <c r="A525" s="1035">
        <v>516</v>
      </c>
      <c r="B525" s="1035" t="s">
        <v>49</v>
      </c>
      <c r="C525" s="1035" t="s">
        <v>152</v>
      </c>
      <c r="D525" s="1117" t="s">
        <v>820</v>
      </c>
      <c r="E525" s="1118" t="s">
        <v>352</v>
      </c>
      <c r="F525" s="1118" t="s">
        <v>353</v>
      </c>
      <c r="G525" s="1118" t="s">
        <v>354</v>
      </c>
      <c r="H525" s="1118" t="s">
        <v>355</v>
      </c>
      <c r="I525" s="913"/>
      <c r="J525" s="848"/>
      <c r="K525" s="865"/>
      <c r="L525" s="862"/>
      <c r="M525" s="863"/>
      <c r="N525" s="801"/>
      <c r="O525" s="822"/>
      <c r="P525" s="822"/>
      <c r="Q525" s="822"/>
      <c r="R525" s="822"/>
      <c r="S525" s="822"/>
      <c r="T525" s="822"/>
      <c r="U525" s="822"/>
      <c r="V525" s="822"/>
      <c r="W525" s="822"/>
      <c r="X525" s="822"/>
      <c r="Y525" s="823"/>
      <c r="Z525" s="823"/>
      <c r="AA525" s="823"/>
    </row>
    <row r="526" spans="1:27" x14ac:dyDescent="0.25">
      <c r="A526" s="1035">
        <v>517</v>
      </c>
      <c r="B526" s="1035" t="s">
        <v>49</v>
      </c>
      <c r="C526" s="1035" t="s">
        <v>152</v>
      </c>
      <c r="D526" s="1119" t="s">
        <v>818</v>
      </c>
      <c r="E526" s="1093" t="s">
        <v>360</v>
      </c>
      <c r="F526" s="1139">
        <f>IF(F523&lt;&gt;"",0,IF(E519=0,0,IF(E523=AIS_No,0,1)))</f>
        <v>0</v>
      </c>
      <c r="G526" s="1139">
        <f>IF(AND(E526=AIS_Yes,E527=AIS_Yes),F526,0)</f>
        <v>0</v>
      </c>
      <c r="H526" s="1329" t="s">
        <v>16</v>
      </c>
      <c r="I526" s="913"/>
      <c r="J526" s="848"/>
      <c r="K526" s="783"/>
      <c r="L526" s="862"/>
      <c r="M526" s="863"/>
      <c r="N526" s="801"/>
      <c r="O526" s="102" t="s">
        <v>1273</v>
      </c>
      <c r="P526" s="822"/>
      <c r="Q526" s="822"/>
      <c r="R526" s="822"/>
      <c r="S526" s="822"/>
      <c r="T526" s="822"/>
      <c r="U526" s="822" t="str">
        <f>$T$4</f>
        <v>No</v>
      </c>
      <c r="V526" s="822"/>
      <c r="W526" s="822"/>
      <c r="X526" s="822"/>
      <c r="Y526" s="823"/>
      <c r="Z526" s="823"/>
      <c r="AA526" s="823"/>
    </row>
    <row r="527" spans="1:27" ht="15.75" thickBot="1" x14ac:dyDescent="0.3">
      <c r="A527" s="1035">
        <v>518</v>
      </c>
      <c r="B527" s="1035" t="s">
        <v>49</v>
      </c>
      <c r="C527" s="1035" t="s">
        <v>152</v>
      </c>
      <c r="D527" s="1123" t="s">
        <v>819</v>
      </c>
      <c r="E527" s="1092" t="s">
        <v>360</v>
      </c>
      <c r="F527" s="1140"/>
      <c r="G527" s="1140"/>
      <c r="H527" s="1330" t="s">
        <v>16</v>
      </c>
      <c r="I527" s="1043"/>
      <c r="J527" s="864"/>
      <c r="K527" s="865"/>
      <c r="L527" s="862"/>
      <c r="M527" s="863"/>
      <c r="N527" s="801"/>
      <c r="O527" s="102" t="s">
        <v>1273</v>
      </c>
      <c r="P527" s="822"/>
      <c r="Q527" s="822"/>
      <c r="R527" s="822"/>
      <c r="S527" s="822"/>
      <c r="T527" s="822"/>
      <c r="U527" s="822" t="str">
        <f>$T$4</f>
        <v>No</v>
      </c>
      <c r="V527" s="822"/>
      <c r="W527" s="822"/>
      <c r="X527" s="822"/>
      <c r="Y527" s="823"/>
      <c r="Z527" s="823"/>
      <c r="AA527" s="823"/>
    </row>
    <row r="528" spans="1:27" ht="15.75" thickBot="1" x14ac:dyDescent="0.3">
      <c r="A528" s="1035">
        <v>519</v>
      </c>
      <c r="B528" s="1035" t="s">
        <v>49</v>
      </c>
      <c r="C528" s="1035" t="s">
        <v>152</v>
      </c>
      <c r="I528" s="1043"/>
      <c r="J528" s="864"/>
      <c r="K528" s="865"/>
      <c r="L528" s="866"/>
      <c r="M528" s="863"/>
      <c r="N528" s="801"/>
      <c r="O528" s="822"/>
      <c r="P528" s="822"/>
      <c r="Q528" s="822"/>
      <c r="R528" s="822"/>
      <c r="S528" s="822"/>
      <c r="T528" s="822"/>
      <c r="U528" s="822"/>
      <c r="V528" s="822"/>
      <c r="W528" s="822"/>
      <c r="X528" s="822"/>
      <c r="Y528" s="823"/>
      <c r="Z528" s="823"/>
      <c r="AA528" s="823"/>
    </row>
    <row r="529" spans="1:27" ht="15.75" thickBot="1" x14ac:dyDescent="0.3">
      <c r="A529" s="1035">
        <v>520</v>
      </c>
      <c r="B529" s="1035" t="s">
        <v>49</v>
      </c>
      <c r="C529" s="1035" t="s">
        <v>152</v>
      </c>
      <c r="D529" s="1117" t="s">
        <v>822</v>
      </c>
      <c r="E529" s="1118" t="s">
        <v>352</v>
      </c>
      <c r="F529" s="1118" t="s">
        <v>353</v>
      </c>
      <c r="G529" s="1118" t="s">
        <v>354</v>
      </c>
      <c r="H529" s="1118" t="s">
        <v>355</v>
      </c>
      <c r="I529" s="1043"/>
      <c r="J529" s="864"/>
      <c r="K529" s="865"/>
      <c r="L529" s="815" t="str">
        <f>AD_Labsize</f>
        <v>No laboratory</v>
      </c>
      <c r="M529" s="863"/>
      <c r="N529" s="801"/>
      <c r="O529" s="822"/>
      <c r="P529" s="822"/>
      <c r="Q529" s="822"/>
      <c r="R529" s="822"/>
      <c r="S529" s="822"/>
      <c r="T529" s="822"/>
      <c r="U529" s="822"/>
      <c r="V529" s="822"/>
      <c r="W529" s="822"/>
      <c r="X529" s="822"/>
      <c r="Y529" s="823"/>
      <c r="Z529" s="823"/>
      <c r="AA529" s="823"/>
    </row>
    <row r="530" spans="1:27" x14ac:dyDescent="0.25">
      <c r="A530" s="1035">
        <v>521</v>
      </c>
      <c r="B530" s="1035" t="s">
        <v>49</v>
      </c>
      <c r="C530" s="1035" t="s">
        <v>152</v>
      </c>
      <c r="D530" s="1119" t="s">
        <v>823</v>
      </c>
      <c r="E530" s="1093" t="s">
        <v>360</v>
      </c>
      <c r="F530" s="1139">
        <f>IF(F523&lt;&gt;"",0,IF(E519=0,0,IF(AND(E523=AIS_Yes,E526=AIS_Yes,E527=AIS_Yes),IF(L529=L530,2,IF(L529=L531,4,0)),0)))</f>
        <v>0</v>
      </c>
      <c r="G530" s="1139">
        <f>L543</f>
        <v>0</v>
      </c>
      <c r="H530" s="1329" t="s">
        <v>16</v>
      </c>
      <c r="I530" s="1042" t="str">
        <f>IF(AND(F530=2,M544=0.5),"Number of credits achieved rounded down","")</f>
        <v/>
      </c>
      <c r="J530" s="864"/>
      <c r="K530" s="865"/>
      <c r="L530" s="867" t="str">
        <f>AD_Labsize01</f>
        <v>Laboratory present: ≥10% - &lt;25% of building's BRA</v>
      </c>
      <c r="M530" s="863"/>
      <c r="N530" s="801"/>
      <c r="O530" s="102" t="s">
        <v>1273</v>
      </c>
      <c r="P530" s="822"/>
      <c r="Q530" s="822"/>
      <c r="R530" s="822"/>
      <c r="S530" s="822"/>
      <c r="T530" s="822"/>
      <c r="U530" s="822" t="str">
        <f>$T$4</f>
        <v>No</v>
      </c>
      <c r="V530" s="822"/>
      <c r="W530" s="822"/>
      <c r="X530" s="822"/>
      <c r="Y530" s="823"/>
      <c r="Z530" s="823"/>
      <c r="AA530" s="823"/>
    </row>
    <row r="531" spans="1:27" ht="15.75" thickBot="1" x14ac:dyDescent="0.3">
      <c r="A531" s="1035">
        <v>522</v>
      </c>
      <c r="B531" s="1035" t="s">
        <v>49</v>
      </c>
      <c r="C531" s="1035" t="s">
        <v>152</v>
      </c>
      <c r="D531" s="1123" t="s">
        <v>824</v>
      </c>
      <c r="E531" s="1092" t="s">
        <v>360</v>
      </c>
      <c r="F531" s="1140"/>
      <c r="G531" s="1140"/>
      <c r="H531" s="1330" t="s">
        <v>16</v>
      </c>
      <c r="I531" s="1043"/>
      <c r="J531" s="864"/>
      <c r="K531" s="865"/>
      <c r="L531" s="812" t="str">
        <f>AD_Labsize02</f>
        <v>Laboratory present: ≥25% of building's BRA</v>
      </c>
      <c r="M531" s="863"/>
      <c r="N531" s="801"/>
      <c r="O531" s="102" t="s">
        <v>1273</v>
      </c>
      <c r="P531" s="822"/>
      <c r="Q531" s="822"/>
      <c r="R531" s="822"/>
      <c r="S531" s="822"/>
      <c r="T531" s="822"/>
      <c r="U531" s="822" t="str">
        <f>$T$4</f>
        <v>No</v>
      </c>
      <c r="V531" s="822"/>
      <c r="W531" s="822"/>
      <c r="X531" s="822"/>
      <c r="Y531" s="823"/>
      <c r="Z531" s="823"/>
      <c r="AA531" s="823"/>
    </row>
    <row r="532" spans="1:27" x14ac:dyDescent="0.25">
      <c r="A532" s="1035">
        <v>523</v>
      </c>
      <c r="B532" s="1035" t="s">
        <v>49</v>
      </c>
      <c r="C532" s="1035" t="s">
        <v>152</v>
      </c>
      <c r="D532" s="1121" t="s">
        <v>828</v>
      </c>
      <c r="E532" s="1091" t="s">
        <v>360</v>
      </c>
      <c r="G532" s="1145"/>
      <c r="I532" s="913"/>
      <c r="J532" s="848"/>
      <c r="K532" s="865"/>
      <c r="L532" s="868">
        <v>1</v>
      </c>
      <c r="M532" s="869">
        <f t="shared" ref="M532:M542" si="45">IF(E532=AIS_Yes,L532,0)</f>
        <v>0</v>
      </c>
      <c r="N532" s="801"/>
      <c r="O532" s="822"/>
      <c r="P532" s="822"/>
      <c r="Q532" s="822"/>
      <c r="R532" s="822"/>
      <c r="S532" s="822"/>
      <c r="T532" s="822"/>
      <c r="U532" s="822"/>
      <c r="V532" s="822"/>
      <c r="W532" s="822"/>
      <c r="X532" s="822"/>
      <c r="Y532" s="823"/>
      <c r="Z532" s="823"/>
      <c r="AA532" s="823"/>
    </row>
    <row r="533" spans="1:27" x14ac:dyDescent="0.25">
      <c r="A533" s="1035">
        <v>524</v>
      </c>
      <c r="B533" s="1035" t="s">
        <v>49</v>
      </c>
      <c r="C533" s="1035" t="s">
        <v>152</v>
      </c>
      <c r="D533" s="1121" t="s">
        <v>829</v>
      </c>
      <c r="E533" s="1091" t="s">
        <v>360</v>
      </c>
      <c r="I533" s="913"/>
      <c r="J533" s="848"/>
      <c r="K533" s="865"/>
      <c r="L533" s="870">
        <v>0.5</v>
      </c>
      <c r="M533" s="871">
        <f t="shared" si="45"/>
        <v>0</v>
      </c>
      <c r="N533" s="801"/>
      <c r="O533" s="822"/>
      <c r="P533" s="822"/>
      <c r="Q533" s="822"/>
      <c r="R533" s="822"/>
      <c r="S533" s="822"/>
      <c r="T533" s="822"/>
      <c r="U533" s="822"/>
      <c r="V533" s="822"/>
      <c r="W533" s="822"/>
      <c r="X533" s="822"/>
      <c r="Y533" s="823"/>
      <c r="Z533" s="823"/>
      <c r="AA533" s="823"/>
    </row>
    <row r="534" spans="1:27" x14ac:dyDescent="0.25">
      <c r="A534" s="1035">
        <v>525</v>
      </c>
      <c r="B534" s="1035" t="s">
        <v>49</v>
      </c>
      <c r="C534" s="1035" t="s">
        <v>152</v>
      </c>
      <c r="D534" s="1121" t="s">
        <v>830</v>
      </c>
      <c r="E534" s="1091" t="s">
        <v>360</v>
      </c>
      <c r="I534" s="913"/>
      <c r="J534" s="848"/>
      <c r="K534" s="865"/>
      <c r="L534" s="870">
        <v>0.5</v>
      </c>
      <c r="M534" s="871">
        <f t="shared" si="45"/>
        <v>0</v>
      </c>
      <c r="N534" s="801"/>
      <c r="O534" s="822"/>
      <c r="P534" s="822"/>
      <c r="Q534" s="822"/>
      <c r="R534" s="822"/>
      <c r="S534" s="822"/>
      <c r="T534" s="822"/>
      <c r="U534" s="822"/>
      <c r="V534" s="822"/>
      <c r="W534" s="822"/>
      <c r="X534" s="822"/>
      <c r="Y534" s="823"/>
      <c r="Z534" s="823"/>
      <c r="AA534" s="823"/>
    </row>
    <row r="535" spans="1:27" x14ac:dyDescent="0.25">
      <c r="A535" s="1035">
        <v>526</v>
      </c>
      <c r="B535" s="1035" t="s">
        <v>49</v>
      </c>
      <c r="C535" s="1035" t="s">
        <v>152</v>
      </c>
      <c r="D535" s="1121" t="s">
        <v>831</v>
      </c>
      <c r="E535" s="1091" t="s">
        <v>360</v>
      </c>
      <c r="I535" s="913"/>
      <c r="J535" s="848"/>
      <c r="K535" s="865"/>
      <c r="L535" s="870">
        <v>0.5</v>
      </c>
      <c r="M535" s="871">
        <f t="shared" si="45"/>
        <v>0</v>
      </c>
      <c r="N535" s="801"/>
      <c r="O535" s="822"/>
      <c r="P535" s="822"/>
      <c r="Q535" s="822"/>
      <c r="R535" s="822"/>
      <c r="S535" s="822"/>
      <c r="T535" s="822"/>
      <c r="U535" s="822"/>
      <c r="V535" s="822"/>
      <c r="W535" s="822"/>
      <c r="X535" s="822"/>
      <c r="Y535" s="823"/>
      <c r="Z535" s="823"/>
      <c r="AA535" s="823"/>
    </row>
    <row r="536" spans="1:27" x14ac:dyDescent="0.25">
      <c r="A536" s="1035">
        <v>527</v>
      </c>
      <c r="B536" s="1035" t="s">
        <v>49</v>
      </c>
      <c r="C536" s="1035" t="s">
        <v>152</v>
      </c>
      <c r="D536" s="1121" t="s">
        <v>832</v>
      </c>
      <c r="E536" s="1091" t="s">
        <v>360</v>
      </c>
      <c r="I536" s="913"/>
      <c r="J536" s="848"/>
      <c r="K536" s="865"/>
      <c r="L536" s="870">
        <v>0.5</v>
      </c>
      <c r="M536" s="871">
        <f t="shared" si="45"/>
        <v>0</v>
      </c>
      <c r="N536" s="801"/>
      <c r="O536" s="822"/>
      <c r="P536" s="822"/>
      <c r="Q536" s="822"/>
      <c r="R536" s="822"/>
      <c r="S536" s="822"/>
      <c r="T536" s="822"/>
      <c r="U536" s="822"/>
      <c r="V536" s="822"/>
      <c r="W536" s="822"/>
      <c r="X536" s="822"/>
      <c r="Y536" s="823"/>
      <c r="Z536" s="823"/>
      <c r="AA536" s="823"/>
    </row>
    <row r="537" spans="1:27" x14ac:dyDescent="0.25">
      <c r="A537" s="1035">
        <v>528</v>
      </c>
      <c r="B537" s="1035" t="s">
        <v>49</v>
      </c>
      <c r="C537" s="1035" t="s">
        <v>152</v>
      </c>
      <c r="D537" s="1121" t="s">
        <v>833</v>
      </c>
      <c r="E537" s="1091" t="s">
        <v>360</v>
      </c>
      <c r="I537" s="913"/>
      <c r="J537" s="848"/>
      <c r="K537" s="865"/>
      <c r="L537" s="870">
        <v>0.5</v>
      </c>
      <c r="M537" s="871">
        <f t="shared" si="45"/>
        <v>0</v>
      </c>
      <c r="N537" s="801"/>
      <c r="O537" s="822"/>
      <c r="P537" s="822"/>
      <c r="Q537" s="822"/>
      <c r="R537" s="822"/>
      <c r="S537" s="822"/>
      <c r="T537" s="822"/>
      <c r="U537" s="822"/>
      <c r="V537" s="822"/>
      <c r="W537" s="822"/>
      <c r="X537" s="822"/>
      <c r="Y537" s="823"/>
      <c r="Z537" s="823"/>
      <c r="AA537" s="823"/>
    </row>
    <row r="538" spans="1:27" x14ac:dyDescent="0.25">
      <c r="A538" s="1035">
        <v>529</v>
      </c>
      <c r="B538" s="1035" t="s">
        <v>49</v>
      </c>
      <c r="C538" s="1035" t="s">
        <v>152</v>
      </c>
      <c r="D538" s="1121" t="s">
        <v>834</v>
      </c>
      <c r="E538" s="1091" t="s">
        <v>360</v>
      </c>
      <c r="I538" s="913"/>
      <c r="J538" s="848"/>
      <c r="K538" s="865"/>
      <c r="L538" s="870">
        <v>0.5</v>
      </c>
      <c r="M538" s="871">
        <f t="shared" si="45"/>
        <v>0</v>
      </c>
      <c r="N538" s="801"/>
      <c r="O538" s="822"/>
      <c r="P538" s="822"/>
      <c r="Q538" s="822"/>
      <c r="R538" s="822"/>
      <c r="S538" s="822"/>
      <c r="T538" s="822"/>
      <c r="U538" s="822"/>
      <c r="V538" s="822"/>
      <c r="W538" s="822"/>
      <c r="X538" s="822"/>
      <c r="Y538" s="823"/>
      <c r="Z538" s="823"/>
      <c r="AA538" s="823"/>
    </row>
    <row r="539" spans="1:27" x14ac:dyDescent="0.25">
      <c r="A539" s="1035">
        <v>530</v>
      </c>
      <c r="B539" s="1035" t="s">
        <v>49</v>
      </c>
      <c r="C539" s="1035" t="s">
        <v>152</v>
      </c>
      <c r="D539" s="1121" t="s">
        <v>835</v>
      </c>
      <c r="E539" s="1091" t="s">
        <v>360</v>
      </c>
      <c r="I539" s="913"/>
      <c r="J539" s="848"/>
      <c r="K539" s="865"/>
      <c r="L539" s="870">
        <v>0.5</v>
      </c>
      <c r="M539" s="871">
        <f t="shared" si="45"/>
        <v>0</v>
      </c>
      <c r="N539" s="801"/>
      <c r="O539" s="822"/>
      <c r="P539" s="822"/>
      <c r="Q539" s="822"/>
      <c r="R539" s="822"/>
      <c r="S539" s="822"/>
      <c r="T539" s="822"/>
      <c r="U539" s="822"/>
      <c r="V539" s="822"/>
      <c r="W539" s="822"/>
      <c r="X539" s="822"/>
      <c r="Y539" s="823"/>
      <c r="Z539" s="823"/>
      <c r="AA539" s="823"/>
    </row>
    <row r="540" spans="1:27" x14ac:dyDescent="0.25">
      <c r="A540" s="1035">
        <v>531</v>
      </c>
      <c r="B540" s="1035" t="s">
        <v>49</v>
      </c>
      <c r="C540" s="1035" t="s">
        <v>152</v>
      </c>
      <c r="D540" s="1121" t="s">
        <v>836</v>
      </c>
      <c r="E540" s="1091" t="s">
        <v>360</v>
      </c>
      <c r="I540" s="913"/>
      <c r="J540" s="848"/>
      <c r="K540" s="865"/>
      <c r="L540" s="870">
        <v>0.5</v>
      </c>
      <c r="M540" s="871">
        <f t="shared" si="45"/>
        <v>0</v>
      </c>
      <c r="N540" s="801"/>
      <c r="O540" s="822"/>
      <c r="P540" s="822"/>
      <c r="Q540" s="822"/>
      <c r="R540" s="822"/>
      <c r="S540" s="822"/>
      <c r="T540" s="822"/>
      <c r="U540" s="822"/>
      <c r="V540" s="822"/>
      <c r="W540" s="822"/>
      <c r="X540" s="822"/>
      <c r="Y540" s="823"/>
      <c r="Z540" s="823"/>
      <c r="AA540" s="823"/>
    </row>
    <row r="541" spans="1:27" x14ac:dyDescent="0.25">
      <c r="A541" s="1035">
        <v>532</v>
      </c>
      <c r="B541" s="1035" t="s">
        <v>49</v>
      </c>
      <c r="C541" s="1035" t="s">
        <v>152</v>
      </c>
      <c r="D541" s="1121" t="s">
        <v>837</v>
      </c>
      <c r="E541" s="1091" t="s">
        <v>360</v>
      </c>
      <c r="I541" s="913"/>
      <c r="J541" s="848"/>
      <c r="K541" s="865"/>
      <c r="L541" s="870">
        <v>0.5</v>
      </c>
      <c r="M541" s="871">
        <f t="shared" si="45"/>
        <v>0</v>
      </c>
      <c r="N541" s="801"/>
      <c r="O541" s="822"/>
      <c r="P541" s="822"/>
      <c r="Q541" s="822"/>
      <c r="R541" s="822"/>
      <c r="S541" s="822"/>
      <c r="T541" s="822"/>
      <c r="U541" s="822"/>
      <c r="V541" s="822"/>
      <c r="W541" s="822"/>
      <c r="X541" s="822"/>
      <c r="Y541" s="823"/>
      <c r="Z541" s="823"/>
      <c r="AA541" s="823"/>
    </row>
    <row r="542" spans="1:27" ht="15.75" thickBot="1" x14ac:dyDescent="0.3">
      <c r="A542" s="1035">
        <v>533</v>
      </c>
      <c r="B542" s="1035" t="s">
        <v>49</v>
      </c>
      <c r="C542" s="1035" t="s">
        <v>152</v>
      </c>
      <c r="D542" s="1123" t="s">
        <v>838</v>
      </c>
      <c r="E542" s="1092" t="s">
        <v>360</v>
      </c>
      <c r="I542" s="913"/>
      <c r="J542" s="848"/>
      <c r="K542" s="865"/>
      <c r="L542" s="872">
        <v>0.5</v>
      </c>
      <c r="M542" s="873">
        <f t="shared" si="45"/>
        <v>0</v>
      </c>
      <c r="N542" s="801"/>
      <c r="O542" s="822"/>
      <c r="P542" s="822"/>
      <c r="Q542" s="822"/>
      <c r="R542" s="822"/>
      <c r="S542" s="822"/>
      <c r="T542" s="822"/>
      <c r="U542" s="822"/>
      <c r="V542" s="822"/>
      <c r="W542" s="822"/>
      <c r="X542" s="822"/>
      <c r="Y542" s="823"/>
      <c r="Z542" s="823"/>
      <c r="AA542" s="823"/>
    </row>
    <row r="543" spans="1:27" ht="15.75" thickBot="1" x14ac:dyDescent="0.3">
      <c r="A543" s="1035">
        <v>534</v>
      </c>
      <c r="B543" s="1035" t="s">
        <v>49</v>
      </c>
      <c r="C543" s="1035" t="s">
        <v>152</v>
      </c>
      <c r="I543" s="913"/>
      <c r="J543" s="848"/>
      <c r="K543" s="865"/>
      <c r="L543" s="874">
        <f>IF(M543&gt;F530,F530,M543)</f>
        <v>0</v>
      </c>
      <c r="M543" s="874">
        <f>ROUNDDOWN(SUM(M532:M542),0)</f>
        <v>0</v>
      </c>
      <c r="N543" s="801"/>
      <c r="O543" s="822"/>
      <c r="P543" s="822"/>
      <c r="Q543" s="822"/>
      <c r="R543" s="822"/>
      <c r="S543" s="822"/>
      <c r="T543" s="822"/>
      <c r="U543" s="822"/>
      <c r="V543" s="822"/>
      <c r="W543" s="822"/>
      <c r="X543" s="822"/>
      <c r="Y543" s="823"/>
      <c r="Z543" s="823"/>
      <c r="AA543" s="823"/>
    </row>
    <row r="544" spans="1:27" ht="15.75" thickBot="1" x14ac:dyDescent="0.3">
      <c r="A544" s="1035">
        <v>535</v>
      </c>
      <c r="B544" s="1035" t="s">
        <v>49</v>
      </c>
      <c r="C544" s="1035" t="s">
        <v>152</v>
      </c>
      <c r="D544" s="1127" t="s">
        <v>356</v>
      </c>
      <c r="E544" s="1128">
        <f>IF((G526+G530)&gt;E519,E519,G526+G530)</f>
        <v>0</v>
      </c>
      <c r="I544" s="1029"/>
      <c r="J544" s="848"/>
      <c r="K544" s="865"/>
      <c r="L544" s="875"/>
      <c r="M544" s="876">
        <f>MOD(SUM(M532:M542),1)</f>
        <v>0</v>
      </c>
      <c r="N544" s="830"/>
      <c r="O544" s="822"/>
      <c r="P544" s="822"/>
      <c r="Q544" s="822"/>
      <c r="R544" s="822"/>
      <c r="S544" s="822"/>
      <c r="T544" s="822"/>
      <c r="U544" s="822"/>
      <c r="V544" s="822"/>
      <c r="W544" s="822"/>
      <c r="X544" s="822"/>
      <c r="Y544" s="823"/>
      <c r="Z544" s="823"/>
      <c r="AA544" s="823"/>
    </row>
    <row r="545" spans="1:27" x14ac:dyDescent="0.25">
      <c r="A545" s="1035">
        <v>536</v>
      </c>
      <c r="B545" s="1035" t="s">
        <v>49</v>
      </c>
      <c r="C545" s="1035" t="s">
        <v>152</v>
      </c>
      <c r="D545" s="1129" t="s">
        <v>86</v>
      </c>
      <c r="E545" s="1130">
        <f>Ene07_25</f>
        <v>0</v>
      </c>
      <c r="I545" s="913"/>
      <c r="J545" s="848"/>
      <c r="K545" s="865"/>
      <c r="L545" s="862"/>
      <c r="M545" s="863"/>
      <c r="N545" s="801"/>
      <c r="O545" s="822"/>
      <c r="P545" s="822"/>
      <c r="Q545" s="822"/>
      <c r="R545" s="822"/>
      <c r="S545" s="822"/>
      <c r="T545" s="822"/>
      <c r="U545" s="822"/>
      <c r="V545" s="822"/>
      <c r="W545" s="822"/>
      <c r="X545" s="822"/>
      <c r="Y545" s="823"/>
      <c r="Z545" s="823"/>
      <c r="AA545" s="823"/>
    </row>
    <row r="546" spans="1:27" x14ac:dyDescent="0.25">
      <c r="A546" s="1035">
        <v>537</v>
      </c>
      <c r="B546" s="1035" t="s">
        <v>49</v>
      </c>
      <c r="C546" s="1035" t="s">
        <v>152</v>
      </c>
      <c r="D546" s="1131" t="s">
        <v>357</v>
      </c>
      <c r="E546" s="1128" t="s">
        <v>16</v>
      </c>
      <c r="I546" s="913"/>
      <c r="J546" s="848"/>
      <c r="K546" s="865"/>
      <c r="L546" s="862"/>
      <c r="M546" s="863"/>
      <c r="N546" s="801"/>
      <c r="O546" s="822"/>
      <c r="P546" s="822"/>
      <c r="Q546" s="822"/>
      <c r="R546" s="822"/>
      <c r="S546" s="822"/>
      <c r="T546" s="822"/>
      <c r="U546" s="822"/>
      <c r="V546" s="822"/>
      <c r="W546" s="822"/>
      <c r="X546" s="822"/>
      <c r="Y546" s="823"/>
      <c r="Z546" s="823"/>
      <c r="AA546" s="823"/>
    </row>
    <row r="547" spans="1:27" x14ac:dyDescent="0.25">
      <c r="A547" s="1035">
        <v>538</v>
      </c>
      <c r="B547" s="1035" t="s">
        <v>49</v>
      </c>
      <c r="C547" s="1035" t="s">
        <v>152</v>
      </c>
      <c r="D547" s="1132" t="s">
        <v>55</v>
      </c>
      <c r="E547" s="1133" t="s">
        <v>16</v>
      </c>
      <c r="F547" s="1134"/>
      <c r="G547" s="1135"/>
      <c r="I547" s="913"/>
      <c r="J547" s="848"/>
      <c r="K547" s="865"/>
      <c r="L547" s="862"/>
      <c r="M547" s="863"/>
      <c r="N547" s="801"/>
      <c r="O547" s="822"/>
      <c r="P547" s="822"/>
      <c r="Q547" s="822"/>
      <c r="R547" s="822"/>
      <c r="S547" s="822"/>
      <c r="T547" s="822"/>
      <c r="U547" s="822"/>
      <c r="V547" s="822"/>
      <c r="W547" s="822"/>
      <c r="X547" s="822"/>
      <c r="Y547" s="823"/>
      <c r="Z547" s="823"/>
      <c r="AA547" s="823"/>
    </row>
    <row r="548" spans="1:27" x14ac:dyDescent="0.25">
      <c r="A548" s="1035">
        <v>539</v>
      </c>
      <c r="B548" s="1035" t="s">
        <v>49</v>
      </c>
      <c r="C548" s="1035" t="s">
        <v>152</v>
      </c>
      <c r="I548" s="913"/>
      <c r="J548" s="848"/>
      <c r="K548" s="865"/>
      <c r="L548" s="862"/>
      <c r="M548" s="863"/>
      <c r="N548" s="801"/>
      <c r="O548" s="822"/>
      <c r="P548" s="822"/>
      <c r="Q548" s="822"/>
      <c r="R548" s="822"/>
      <c r="S548" s="822"/>
      <c r="T548" s="822"/>
      <c r="U548" s="822"/>
      <c r="V548" s="822"/>
      <c r="W548" s="822"/>
      <c r="X548" s="822"/>
      <c r="Y548" s="823"/>
      <c r="Z548" s="823"/>
      <c r="AA548" s="823"/>
    </row>
    <row r="549" spans="1:27" x14ac:dyDescent="0.25">
      <c r="A549" s="1035">
        <v>540</v>
      </c>
      <c r="B549" s="1035" t="s">
        <v>49</v>
      </c>
      <c r="C549" s="1035" t="s">
        <v>152</v>
      </c>
      <c r="D549" s="1136" t="s">
        <v>359</v>
      </c>
      <c r="E549" s="1136" t="s">
        <v>977</v>
      </c>
      <c r="F549" s="1136" t="str">
        <f>HLOOKUP(C549,'Assessment References'!$H$512:$BG$513,2,FALSE)</f>
        <v/>
      </c>
      <c r="G549" s="1137"/>
      <c r="H549" s="1138"/>
      <c r="I549" s="913"/>
      <c r="J549" s="848"/>
      <c r="K549" s="865"/>
      <c r="L549" s="862"/>
      <c r="M549" s="863"/>
      <c r="N549" s="801"/>
      <c r="O549" s="822"/>
      <c r="P549" s="822"/>
      <c r="Q549" s="822"/>
      <c r="R549" s="822"/>
      <c r="S549" s="822"/>
      <c r="T549" s="822"/>
      <c r="U549" s="822"/>
      <c r="V549" s="822"/>
      <c r="W549" s="822"/>
      <c r="X549" s="822"/>
      <c r="Y549" s="823"/>
      <c r="Z549" s="823"/>
      <c r="AA549" s="823"/>
    </row>
    <row r="550" spans="1:27" x14ac:dyDescent="0.25">
      <c r="A550" s="1035">
        <v>541</v>
      </c>
      <c r="B550" s="1035" t="s">
        <v>49</v>
      </c>
      <c r="C550" s="1035" t="s">
        <v>152</v>
      </c>
      <c r="D550" s="1363"/>
      <c r="E550" s="1352"/>
      <c r="F550" s="1352"/>
      <c r="G550" s="1352"/>
      <c r="H550" s="1353"/>
      <c r="I550" s="913"/>
      <c r="J550" s="848"/>
      <c r="K550" s="865"/>
      <c r="L550" s="862"/>
      <c r="M550" s="863"/>
      <c r="N550" s="801"/>
      <c r="O550" s="822"/>
      <c r="P550" s="822"/>
      <c r="Q550" s="822"/>
      <c r="R550" s="822"/>
      <c r="S550" s="822"/>
      <c r="T550" s="822"/>
      <c r="U550" s="822"/>
      <c r="V550" s="822"/>
      <c r="W550" s="822"/>
      <c r="X550" s="822"/>
      <c r="Y550" s="823"/>
      <c r="Z550" s="823"/>
      <c r="AA550" s="823"/>
    </row>
    <row r="551" spans="1:27" x14ac:dyDescent="0.25">
      <c r="A551" s="1035">
        <v>542</v>
      </c>
      <c r="B551" s="1035" t="s">
        <v>49</v>
      </c>
      <c r="C551" s="1035" t="s">
        <v>152</v>
      </c>
      <c r="D551" s="1354"/>
      <c r="E551" s="1355"/>
      <c r="F551" s="1355"/>
      <c r="G551" s="1355"/>
      <c r="H551" s="1356"/>
      <c r="I551" s="913"/>
      <c r="J551" s="848"/>
      <c r="K551" s="865"/>
      <c r="L551" s="862"/>
      <c r="M551" s="863"/>
      <c r="N551" s="801"/>
      <c r="O551" s="822"/>
      <c r="P551" s="822"/>
      <c r="Q551" s="822"/>
      <c r="R551" s="822"/>
      <c r="S551" s="822"/>
      <c r="T551" s="822"/>
      <c r="U551" s="822"/>
      <c r="V551" s="822"/>
      <c r="W551" s="822"/>
      <c r="X551" s="822"/>
      <c r="Y551" s="823"/>
      <c r="Z551" s="823"/>
      <c r="AA551" s="823"/>
    </row>
    <row r="552" spans="1:27" x14ac:dyDescent="0.25">
      <c r="A552" s="1035">
        <v>543</v>
      </c>
      <c r="B552" s="1035" t="s">
        <v>49</v>
      </c>
      <c r="C552" s="1035" t="s">
        <v>152</v>
      </c>
      <c r="D552" s="1354"/>
      <c r="E552" s="1355"/>
      <c r="F552" s="1355"/>
      <c r="G552" s="1355"/>
      <c r="H552" s="1356"/>
      <c r="I552" s="913"/>
      <c r="J552" s="848"/>
      <c r="K552" s="865"/>
      <c r="L552" s="862"/>
      <c r="M552" s="863"/>
      <c r="N552" s="801"/>
      <c r="O552" s="822"/>
      <c r="P552" s="822"/>
      <c r="Q552" s="822"/>
      <c r="R552" s="822"/>
      <c r="S552" s="822"/>
      <c r="T552" s="822"/>
      <c r="U552" s="822"/>
      <c r="V552" s="822"/>
      <c r="W552" s="822"/>
      <c r="X552" s="822"/>
      <c r="Y552" s="823"/>
      <c r="Z552" s="823"/>
      <c r="AA552" s="823"/>
    </row>
    <row r="553" spans="1:27" x14ac:dyDescent="0.25">
      <c r="A553" s="1035">
        <v>544</v>
      </c>
      <c r="B553" s="1035" t="s">
        <v>49</v>
      </c>
      <c r="C553" s="1035" t="s">
        <v>152</v>
      </c>
      <c r="D553" s="1364"/>
      <c r="E553" s="1358"/>
      <c r="F553" s="1358"/>
      <c r="G553" s="1358"/>
      <c r="H553" s="1359"/>
      <c r="I553" s="913"/>
      <c r="J553" s="848"/>
      <c r="K553" s="865"/>
      <c r="L553" s="862"/>
      <c r="M553" s="863"/>
      <c r="N553" s="801"/>
      <c r="O553" s="822"/>
      <c r="P553" s="822"/>
      <c r="Q553" s="822"/>
      <c r="R553" s="822"/>
      <c r="S553" s="822"/>
      <c r="T553" s="822"/>
      <c r="U553" s="822"/>
      <c r="V553" s="822"/>
      <c r="W553" s="822"/>
      <c r="X553" s="822"/>
      <c r="Y553" s="823"/>
      <c r="Z553" s="823"/>
      <c r="AA553" s="823"/>
    </row>
    <row r="554" spans="1:27" x14ac:dyDescent="0.25">
      <c r="A554" s="1035">
        <v>545</v>
      </c>
      <c r="B554" s="1035" t="s">
        <v>49</v>
      </c>
      <c r="C554" s="1035" t="s">
        <v>152</v>
      </c>
      <c r="D554" s="1364"/>
      <c r="E554" s="1358"/>
      <c r="F554" s="1358"/>
      <c r="G554" s="1358"/>
      <c r="H554" s="1359"/>
      <c r="I554" s="913"/>
      <c r="J554" s="848"/>
      <c r="K554" s="865"/>
      <c r="L554" s="862"/>
      <c r="M554" s="863"/>
      <c r="N554" s="801"/>
      <c r="O554" s="822"/>
      <c r="P554" s="822"/>
      <c r="Q554" s="822"/>
      <c r="R554" s="822"/>
      <c r="S554" s="822"/>
      <c r="T554" s="822"/>
      <c r="U554" s="822"/>
      <c r="V554" s="822"/>
      <c r="W554" s="822"/>
      <c r="X554" s="822"/>
      <c r="Y554" s="823"/>
      <c r="Z554" s="823"/>
      <c r="AA554" s="823"/>
    </row>
    <row r="555" spans="1:27" x14ac:dyDescent="0.25">
      <c r="A555" s="1035">
        <v>546</v>
      </c>
      <c r="B555" s="1035" t="s">
        <v>49</v>
      </c>
      <c r="C555" s="1035" t="s">
        <v>152</v>
      </c>
      <c r="D555" s="1360"/>
      <c r="E555" s="1361"/>
      <c r="F555" s="1361"/>
      <c r="G555" s="1361"/>
      <c r="H555" s="1362"/>
      <c r="I555" s="913"/>
      <c r="J555" s="848"/>
      <c r="K555" s="865"/>
      <c r="L555" s="862"/>
      <c r="M555" s="863"/>
      <c r="N555" s="801"/>
      <c r="O555" s="822"/>
      <c r="P555" s="822"/>
      <c r="Q555" s="822"/>
      <c r="R555" s="822"/>
      <c r="S555" s="822"/>
      <c r="T555" s="822"/>
      <c r="U555" s="822"/>
      <c r="V555" s="822"/>
      <c r="W555" s="822"/>
      <c r="X555" s="822"/>
      <c r="Y555" s="823"/>
      <c r="Z555" s="823"/>
      <c r="AA555" s="823"/>
    </row>
    <row r="556" spans="1:27" ht="15.75" thickBot="1" x14ac:dyDescent="0.3">
      <c r="A556" s="1035">
        <v>547</v>
      </c>
      <c r="B556" s="1035" t="s">
        <v>49</v>
      </c>
      <c r="C556" s="1035" t="s">
        <v>152</v>
      </c>
      <c r="D556" s="848"/>
      <c r="E556" s="848"/>
      <c r="F556" s="848"/>
      <c r="G556" s="848"/>
      <c r="H556" s="848"/>
      <c r="I556" s="913"/>
      <c r="J556" s="848"/>
      <c r="K556" s="865"/>
      <c r="L556" s="862"/>
      <c r="M556" s="863"/>
      <c r="N556" s="801"/>
      <c r="O556" s="822"/>
      <c r="P556" s="822"/>
      <c r="Q556" s="822"/>
      <c r="R556" s="822"/>
      <c r="S556" s="822"/>
      <c r="T556" s="822"/>
      <c r="U556" s="822"/>
      <c r="V556" s="822"/>
      <c r="W556" s="822"/>
      <c r="X556" s="822"/>
      <c r="Y556" s="823"/>
      <c r="Z556" s="823"/>
      <c r="AA556" s="823"/>
    </row>
    <row r="557" spans="1:27" x14ac:dyDescent="0.25">
      <c r="A557" s="1037">
        <v>548</v>
      </c>
      <c r="B557" s="1037" t="s">
        <v>49</v>
      </c>
      <c r="C557" s="802" t="s">
        <v>153</v>
      </c>
      <c r="D557" s="1162" t="s">
        <v>900</v>
      </c>
      <c r="E557" s="1158"/>
      <c r="F557" s="1158"/>
      <c r="G557" s="1159"/>
      <c r="H557" s="1159"/>
      <c r="I557" s="913"/>
      <c r="J557" s="848"/>
      <c r="K557" s="865"/>
      <c r="L557" s="809" t="str">
        <f>C557</f>
        <v>Ene 08</v>
      </c>
      <c r="M557" s="863"/>
      <c r="N557" s="801"/>
      <c r="O557" s="822"/>
      <c r="P557" s="822"/>
      <c r="Q557" s="822"/>
      <c r="R557" s="822"/>
      <c r="S557" s="822"/>
      <c r="T557" s="822"/>
      <c r="U557" s="822"/>
      <c r="V557" s="822"/>
      <c r="W557" s="822"/>
      <c r="X557" s="822"/>
      <c r="Y557" s="823"/>
      <c r="Z557" s="823"/>
      <c r="AA557" s="823"/>
    </row>
    <row r="558" spans="1:27" x14ac:dyDescent="0.25">
      <c r="A558" s="1035">
        <v>549</v>
      </c>
      <c r="B558" s="1035" t="s">
        <v>49</v>
      </c>
      <c r="C558" s="1035" t="s">
        <v>153</v>
      </c>
      <c r="D558" s="1107" t="s">
        <v>17</v>
      </c>
      <c r="E558" s="1108">
        <f>Ene08_credits</f>
        <v>2</v>
      </c>
      <c r="F558" s="1109"/>
      <c r="G558" s="1110" t="s">
        <v>85</v>
      </c>
      <c r="H558" s="1111">
        <f>Ene08_27</f>
        <v>1.7272727272727273E-2</v>
      </c>
      <c r="I558" s="913"/>
      <c r="J558" s="848"/>
      <c r="K558" s="865"/>
      <c r="L558" s="862"/>
      <c r="M558" s="863"/>
      <c r="N558" s="801"/>
      <c r="O558" s="822"/>
      <c r="P558" s="822"/>
      <c r="Q558" s="822"/>
      <c r="R558" s="822"/>
      <c r="S558" s="822"/>
      <c r="T558" s="822"/>
      <c r="U558" s="822"/>
      <c r="V558" s="822"/>
      <c r="W558" s="822"/>
      <c r="X558" s="822"/>
      <c r="Y558" s="823"/>
      <c r="Z558" s="823"/>
      <c r="AA558" s="823"/>
    </row>
    <row r="559" spans="1:27" x14ac:dyDescent="0.25">
      <c r="A559" s="1035">
        <v>550</v>
      </c>
      <c r="B559" s="1035" t="s">
        <v>49</v>
      </c>
      <c r="C559" s="1035" t="s">
        <v>153</v>
      </c>
      <c r="D559" s="1112" t="s">
        <v>349</v>
      </c>
      <c r="E559" s="1113">
        <v>0</v>
      </c>
      <c r="F559" s="1114"/>
      <c r="G559" s="1115" t="s">
        <v>350</v>
      </c>
      <c r="H559" s="1116" t="s">
        <v>15</v>
      </c>
      <c r="I559" s="913"/>
      <c r="J559" s="848"/>
      <c r="K559" s="865"/>
      <c r="L559" s="862"/>
      <c r="M559" s="863"/>
      <c r="N559" s="801"/>
      <c r="O559" s="822"/>
      <c r="P559" s="822"/>
      <c r="Q559" s="822"/>
      <c r="R559" s="822"/>
      <c r="S559" s="822"/>
      <c r="T559" s="822"/>
      <c r="U559" s="822"/>
      <c r="V559" s="822"/>
      <c r="W559" s="822"/>
      <c r="X559" s="822"/>
      <c r="Y559" s="823"/>
      <c r="Z559" s="823"/>
      <c r="AA559" s="823"/>
    </row>
    <row r="560" spans="1:27" x14ac:dyDescent="0.25">
      <c r="A560" s="1035">
        <v>551</v>
      </c>
      <c r="B560" s="1035" t="s">
        <v>49</v>
      </c>
      <c r="C560" s="1035" t="s">
        <v>153</v>
      </c>
      <c r="I560" s="1043"/>
      <c r="J560" s="864"/>
      <c r="K560" s="865"/>
      <c r="L560" s="862"/>
      <c r="M560" s="863"/>
      <c r="N560" s="801"/>
      <c r="O560" s="822"/>
      <c r="P560" s="822"/>
      <c r="Q560" s="822"/>
      <c r="R560" s="822"/>
      <c r="S560" s="822"/>
      <c r="T560" s="822"/>
      <c r="U560" s="822"/>
      <c r="V560" s="822"/>
      <c r="W560" s="822"/>
      <c r="X560" s="822"/>
      <c r="Y560" s="823"/>
      <c r="Z560" s="823"/>
      <c r="AA560" s="823"/>
    </row>
    <row r="561" spans="1:33" ht="45.75" thickBot="1" x14ac:dyDescent="0.3">
      <c r="A561" s="1035">
        <v>552</v>
      </c>
      <c r="B561" s="1035" t="s">
        <v>49</v>
      </c>
      <c r="C561" s="1035" t="s">
        <v>153</v>
      </c>
      <c r="D561" s="1117" t="s">
        <v>351</v>
      </c>
      <c r="E561" s="1118" t="s">
        <v>842</v>
      </c>
      <c r="F561" s="1177" t="s">
        <v>408</v>
      </c>
      <c r="I561" s="913"/>
      <c r="J561" s="848"/>
      <c r="K561" s="865"/>
      <c r="L561" s="877" t="str">
        <f>AIS_PS</f>
        <v>Please select</v>
      </c>
      <c r="M561" s="863"/>
      <c r="N561" s="801"/>
      <c r="O561" s="822"/>
      <c r="P561" s="822"/>
      <c r="Q561" s="822"/>
      <c r="R561" s="822"/>
      <c r="S561" s="822"/>
      <c r="T561" s="822"/>
      <c r="U561" s="822"/>
      <c r="V561" s="822"/>
      <c r="W561" s="822"/>
      <c r="X561" s="822"/>
      <c r="Y561" s="823"/>
      <c r="Z561" s="823"/>
      <c r="AA561" s="823"/>
    </row>
    <row r="562" spans="1:33" x14ac:dyDescent="0.25">
      <c r="A562" s="1035">
        <v>553</v>
      </c>
      <c r="B562" s="1035" t="s">
        <v>49</v>
      </c>
      <c r="C562" s="1035" t="s">
        <v>153</v>
      </c>
      <c r="D562" s="1119" t="s">
        <v>825</v>
      </c>
      <c r="E562" s="1093" t="s">
        <v>360</v>
      </c>
      <c r="F562" s="1093" t="s">
        <v>360</v>
      </c>
      <c r="I562" s="1042"/>
      <c r="J562" s="864"/>
      <c r="K562" s="865"/>
      <c r="L562" s="878" t="s">
        <v>1026</v>
      </c>
      <c r="M562" s="869">
        <f t="shared" ref="M562:M567" si="46">IF(E562=AIS_PS,1,0)</f>
        <v>1</v>
      </c>
      <c r="N562" s="830"/>
      <c r="O562" s="822"/>
      <c r="P562" s="822"/>
      <c r="Q562" s="822"/>
      <c r="R562" s="822"/>
      <c r="S562" s="822"/>
      <c r="T562" s="822"/>
      <c r="U562" s="822"/>
      <c r="V562" s="822"/>
      <c r="W562" s="822"/>
      <c r="X562" s="822"/>
      <c r="Y562" s="823"/>
      <c r="Z562" s="823"/>
      <c r="AA562" s="823"/>
    </row>
    <row r="563" spans="1:33" ht="15.75" thickBot="1" x14ac:dyDescent="0.3">
      <c r="A563" s="1035">
        <v>554</v>
      </c>
      <c r="B563" s="1035" t="s">
        <v>49</v>
      </c>
      <c r="C563" s="1035" t="s">
        <v>153</v>
      </c>
      <c r="D563" s="1121" t="s">
        <v>826</v>
      </c>
      <c r="E563" s="1091" t="s">
        <v>360</v>
      </c>
      <c r="F563" s="1091" t="s">
        <v>360</v>
      </c>
      <c r="I563" s="913"/>
      <c r="J563" s="848"/>
      <c r="K563" s="865"/>
      <c r="L563" s="872" t="s">
        <v>1027</v>
      </c>
      <c r="M563" s="871">
        <f t="shared" si="46"/>
        <v>1</v>
      </c>
      <c r="N563" s="830"/>
      <c r="O563" s="822"/>
      <c r="P563" s="822"/>
      <c r="Q563" s="822"/>
      <c r="R563" s="822"/>
      <c r="S563" s="822"/>
      <c r="T563" s="822"/>
      <c r="U563" s="822"/>
      <c r="V563" s="822"/>
      <c r="W563" s="822"/>
      <c r="X563" s="822"/>
      <c r="Y563" s="823"/>
      <c r="Z563" s="823"/>
      <c r="AA563" s="823"/>
    </row>
    <row r="564" spans="1:33" x14ac:dyDescent="0.25">
      <c r="A564" s="1035">
        <v>555</v>
      </c>
      <c r="B564" s="1035" t="s">
        <v>49</v>
      </c>
      <c r="C564" s="1035" t="s">
        <v>153</v>
      </c>
      <c r="D564" s="1160" t="s">
        <v>827</v>
      </c>
      <c r="E564" s="1091" t="s">
        <v>360</v>
      </c>
      <c r="F564" s="1091" t="s">
        <v>360</v>
      </c>
      <c r="I564" s="913"/>
      <c r="J564" s="848"/>
      <c r="K564" s="865"/>
      <c r="L564" s="875"/>
      <c r="M564" s="871">
        <f t="shared" si="46"/>
        <v>1</v>
      </c>
      <c r="N564" s="830"/>
      <c r="O564" s="822"/>
      <c r="P564" s="822"/>
      <c r="Q564" s="822"/>
      <c r="R564" s="822"/>
      <c r="S564" s="822"/>
      <c r="T564" s="822"/>
      <c r="U564" s="822"/>
      <c r="V564" s="822"/>
      <c r="W564" s="822"/>
      <c r="X564" s="822"/>
      <c r="Y564" s="823"/>
      <c r="Z564" s="823"/>
      <c r="AA564" s="823"/>
    </row>
    <row r="565" spans="1:33" ht="15.75" thickBot="1" x14ac:dyDescent="0.3">
      <c r="A565" s="1035">
        <v>556</v>
      </c>
      <c r="B565" s="1035" t="s">
        <v>49</v>
      </c>
      <c r="C565" s="1035" t="s">
        <v>153</v>
      </c>
      <c r="D565" s="1121" t="s">
        <v>839</v>
      </c>
      <c r="E565" s="1091" t="s">
        <v>360</v>
      </c>
      <c r="F565" s="1091" t="s">
        <v>360</v>
      </c>
      <c r="G565" s="1178" t="s">
        <v>844</v>
      </c>
      <c r="I565" s="913"/>
      <c r="J565" s="848"/>
      <c r="K565" s="865"/>
      <c r="L565" s="879"/>
      <c r="M565" s="871">
        <f t="shared" si="46"/>
        <v>1</v>
      </c>
      <c r="N565" s="830"/>
      <c r="O565" s="822"/>
      <c r="P565" s="822"/>
      <c r="Q565" s="822"/>
      <c r="R565" s="822"/>
      <c r="S565" s="822"/>
      <c r="T565" s="822"/>
      <c r="U565" s="822"/>
      <c r="V565" s="822"/>
      <c r="W565" s="822"/>
      <c r="X565" s="822"/>
      <c r="Y565" s="823"/>
      <c r="Z565" s="823"/>
      <c r="AA565" s="823"/>
    </row>
    <row r="566" spans="1:33" ht="15.75" thickBot="1" x14ac:dyDescent="0.3">
      <c r="A566" s="1035">
        <v>557</v>
      </c>
      <c r="B566" s="1035" t="s">
        <v>49</v>
      </c>
      <c r="C566" s="1035" t="s">
        <v>153</v>
      </c>
      <c r="D566" s="1121" t="s">
        <v>840</v>
      </c>
      <c r="E566" s="1091" t="s">
        <v>360</v>
      </c>
      <c r="F566" s="1091" t="s">
        <v>360</v>
      </c>
      <c r="G566" s="1098" t="s">
        <v>1026</v>
      </c>
      <c r="H566" s="1179" t="str">
        <f>IF(AND(E566=AIS_Yes,L577=1,L579=1),AIS_statement34,"")</f>
        <v/>
      </c>
      <c r="I566" s="1044"/>
      <c r="J566" s="864"/>
      <c r="K566" s="865"/>
      <c r="L566" s="879"/>
      <c r="M566" s="871">
        <f t="shared" si="46"/>
        <v>1</v>
      </c>
      <c r="N566" s="830"/>
      <c r="O566" s="822"/>
      <c r="P566" s="822"/>
      <c r="Q566" s="822"/>
      <c r="R566" s="822"/>
      <c r="S566" s="822"/>
      <c r="T566" s="822"/>
      <c r="U566" s="822"/>
      <c r="V566" s="822"/>
      <c r="W566" s="822"/>
      <c r="X566" s="822"/>
      <c r="Y566" s="823"/>
      <c r="Z566" s="823"/>
      <c r="AA566" s="823"/>
    </row>
    <row r="567" spans="1:33" ht="15.75" thickBot="1" x14ac:dyDescent="0.3">
      <c r="A567" s="1035">
        <v>558</v>
      </c>
      <c r="B567" s="1035" t="s">
        <v>49</v>
      </c>
      <c r="C567" s="1035" t="s">
        <v>153</v>
      </c>
      <c r="D567" s="1123" t="s">
        <v>841</v>
      </c>
      <c r="E567" s="1092" t="s">
        <v>360</v>
      </c>
      <c r="F567" s="1092" t="s">
        <v>360</v>
      </c>
      <c r="I567" s="913"/>
      <c r="J567" s="848"/>
      <c r="K567" s="865"/>
      <c r="L567" s="879">
        <f>IF(M580+M581+M582+M583+M585=0,0,IF(OR(M568=6,E570=AIS_PS),0,IF(AND(H566="",E570=AIS_Yes,M579=0),F570,0)))</f>
        <v>0</v>
      </c>
      <c r="M567" s="873">
        <f t="shared" si="46"/>
        <v>1</v>
      </c>
      <c r="N567" s="830"/>
      <c r="O567" s="822"/>
      <c r="P567" s="822"/>
      <c r="Q567" s="822"/>
      <c r="R567" s="822"/>
      <c r="S567" s="822"/>
      <c r="T567" s="822"/>
      <c r="U567" s="822"/>
      <c r="V567" s="822"/>
      <c r="W567" s="822"/>
      <c r="X567" s="822"/>
      <c r="Y567" s="823"/>
      <c r="Z567" s="823"/>
      <c r="AA567" s="823"/>
    </row>
    <row r="568" spans="1:33" ht="15.75" thickBot="1" x14ac:dyDescent="0.3">
      <c r="A568" s="1035">
        <v>559</v>
      </c>
      <c r="B568" s="1035" t="s">
        <v>49</v>
      </c>
      <c r="C568" s="1035" t="s">
        <v>153</v>
      </c>
      <c r="H568" s="1168"/>
      <c r="I568" s="1029"/>
      <c r="J568" s="864"/>
      <c r="K568" s="865"/>
      <c r="L568" s="879">
        <f>IF(OR(M568=6,E570=AIS_PS),0,IF(AND(I570="",E570=AIS_Yes,E566=AIS_Yes,F566=AIS_Yes,G566=L563),1,IF(AND(I570="",E570=AIS_Yes,M579=0),F570,0)))</f>
        <v>0</v>
      </c>
      <c r="M568" s="874">
        <f>SUM(M562:M567)</f>
        <v>6</v>
      </c>
      <c r="N568" s="830"/>
      <c r="O568" s="822"/>
      <c r="P568" s="822"/>
      <c r="Q568" s="822"/>
      <c r="R568" s="822"/>
      <c r="S568" s="822"/>
      <c r="T568" s="822"/>
      <c r="U568" s="822"/>
      <c r="V568" s="822"/>
      <c r="W568" s="822"/>
      <c r="X568" s="822"/>
      <c r="Y568" s="823"/>
      <c r="Z568" s="823"/>
      <c r="AA568" s="823"/>
    </row>
    <row r="569" spans="1:33" ht="15.75" thickBot="1" x14ac:dyDescent="0.3">
      <c r="A569" s="1035">
        <v>560</v>
      </c>
      <c r="B569" s="1035" t="s">
        <v>49</v>
      </c>
      <c r="C569" s="1035" t="s">
        <v>153</v>
      </c>
      <c r="D569" s="1117"/>
      <c r="E569" s="1118" t="s">
        <v>352</v>
      </c>
      <c r="F569" s="1118" t="s">
        <v>353</v>
      </c>
      <c r="G569" s="1118" t="s">
        <v>354</v>
      </c>
      <c r="H569" s="1118" t="s">
        <v>355</v>
      </c>
      <c r="I569" s="913"/>
      <c r="J569" s="848"/>
      <c r="K569" s="865"/>
      <c r="L569" s="862"/>
      <c r="M569" s="863"/>
      <c r="N569" s="801"/>
      <c r="O569" s="822"/>
      <c r="P569" s="822"/>
      <c r="Q569" s="822"/>
      <c r="R569" s="822"/>
      <c r="S569" s="822"/>
      <c r="T569" s="822"/>
      <c r="U569" s="822"/>
      <c r="V569" s="822"/>
      <c r="W569" s="822"/>
      <c r="X569" s="822"/>
      <c r="Y569" s="823"/>
      <c r="Z569" s="823"/>
      <c r="AA569" s="823"/>
    </row>
    <row r="570" spans="1:33" ht="15.75" thickBot="1" x14ac:dyDescent="0.3">
      <c r="A570" s="1035">
        <v>561</v>
      </c>
      <c r="B570" s="1035" t="s">
        <v>49</v>
      </c>
      <c r="C570" s="1035" t="s">
        <v>153</v>
      </c>
      <c r="D570" s="1142" t="s">
        <v>843</v>
      </c>
      <c r="E570" s="1098" t="s">
        <v>15</v>
      </c>
      <c r="F570" s="1143">
        <f>E558</f>
        <v>2</v>
      </c>
      <c r="G570" s="1143">
        <f>MAX(L567:L568)*IF(U570=AIS_No,1,IF(H570=AA570,R570,IF(H570=AB570,S570,IF(H570=AC570,T570,1))))</f>
        <v>0</v>
      </c>
      <c r="H570" s="1327" t="s">
        <v>16</v>
      </c>
      <c r="I570" s="1042" t="str">
        <f>IF(L578=13,AIS_statement36,IF(AND(L579=0,L575=1),AIS_statement36,""))</f>
        <v/>
      </c>
      <c r="J570" s="848"/>
      <c r="K570" s="865"/>
      <c r="L570" s="866"/>
      <c r="M570" s="863"/>
      <c r="N570" s="801"/>
      <c r="O570" s="1266">
        <v>1</v>
      </c>
      <c r="P570" s="1266">
        <v>0.5</v>
      </c>
      <c r="Q570" s="1267">
        <v>1</v>
      </c>
      <c r="R570" s="1258" t="str">
        <f t="shared" ref="R570" si="47">IF($T$4=AIS_Yes,O570,AIS_NA)</f>
        <v>N/A</v>
      </c>
      <c r="S570" s="1259" t="str">
        <f t="shared" ref="S570" si="48">IF($T$4=AIS_Yes,P570,AIS_NA)</f>
        <v>N/A</v>
      </c>
      <c r="T570" s="1074" t="str">
        <f t="shared" ref="T570" si="49">IF($T$4=AIS_Yes,Q570,AIS_NA)</f>
        <v>N/A</v>
      </c>
      <c r="U570" s="1265" t="str">
        <f>IF(AND($T$4=AIS_Yes,OR(R570&lt;&gt;AIS_NA,S570&lt;&gt;AIS_NA,T570&lt;&gt;AIS_NA)),AIS_Yes,AIS_No)</f>
        <v>No</v>
      </c>
      <c r="V570" s="1258" t="str">
        <f>AIS_option01</f>
        <v>N/A</v>
      </c>
      <c r="W570" s="1259" t="str">
        <f>AIS_option02_50</f>
        <v>Option 2: -50%</v>
      </c>
      <c r="X570" s="1272" t="str">
        <f>AIS_option03</f>
        <v>N/A</v>
      </c>
      <c r="Y570" s="1273"/>
      <c r="Z570" s="1282" t="str">
        <f>AIS_NA</f>
        <v>N/A</v>
      </c>
      <c r="AA570" s="1274" t="str">
        <f>IF(U570=AIS_Yes,V570,AIS_NA)</f>
        <v>N/A</v>
      </c>
      <c r="AB570" s="1274" t="str">
        <f>IF(U570=AIS_Yes,W570,AIS_NA)</f>
        <v>N/A</v>
      </c>
      <c r="AC570" s="1275" t="str">
        <f>IF(U570=AIS_Yes,X570,AIS_NA)</f>
        <v>N/A</v>
      </c>
      <c r="AD570" s="1276" t="str">
        <f>C570</f>
        <v>Ene 08</v>
      </c>
      <c r="AE570" s="1262" t="str">
        <f>D557</f>
        <v>Energy efficient equipment</v>
      </c>
      <c r="AF570" s="1263" t="str">
        <f>H570</f>
        <v>N/A</v>
      </c>
      <c r="AG570" s="768">
        <f>IF(U570=AIS_No,1,IF(H570=AA570,R570,IF(H570=AB570,S570,IF(H570=AC570,T570,1))))</f>
        <v>1</v>
      </c>
    </row>
    <row r="571" spans="1:33" x14ac:dyDescent="0.25">
      <c r="A571" s="1035">
        <v>562</v>
      </c>
      <c r="B571" s="1035" t="s">
        <v>49</v>
      </c>
      <c r="C571" s="1035" t="s">
        <v>153</v>
      </c>
      <c r="D571" s="848"/>
      <c r="E571" s="848"/>
      <c r="F571" s="848"/>
      <c r="G571" s="848"/>
      <c r="H571" s="848"/>
      <c r="I571" s="913"/>
      <c r="J571" s="848"/>
      <c r="K571" s="865"/>
      <c r="L571" s="878">
        <f t="shared" ref="L571:L576" si="50">IF(E562=AIS_Yes,1,0)</f>
        <v>0</v>
      </c>
      <c r="M571" s="869">
        <f t="shared" ref="M571:M576" si="51">IF(OR(F562=AIS_No,F562=AIS_PS),1,0)</f>
        <v>1</v>
      </c>
      <c r="N571" s="830"/>
      <c r="O571" s="822"/>
      <c r="P571" s="822"/>
      <c r="Q571" s="822"/>
      <c r="R571" s="822"/>
      <c r="S571" s="822"/>
      <c r="T571" s="822"/>
      <c r="U571" s="822"/>
      <c r="V571" s="822"/>
      <c r="W571" s="822"/>
      <c r="X571" s="822"/>
      <c r="Y571" s="823"/>
      <c r="Z571" s="823"/>
      <c r="AA571" s="823"/>
    </row>
    <row r="572" spans="1:33" x14ac:dyDescent="0.25">
      <c r="A572" s="1035">
        <v>563</v>
      </c>
      <c r="B572" s="1035" t="s">
        <v>49</v>
      </c>
      <c r="C572" s="1035" t="s">
        <v>153</v>
      </c>
      <c r="I572" s="913"/>
      <c r="J572" s="848"/>
      <c r="K572" s="865"/>
      <c r="L572" s="870">
        <f t="shared" si="50"/>
        <v>0</v>
      </c>
      <c r="M572" s="871">
        <f t="shared" si="51"/>
        <v>1</v>
      </c>
      <c r="N572" s="830"/>
      <c r="O572" s="822"/>
      <c r="P572" s="822"/>
      <c r="Q572" s="822"/>
      <c r="R572" s="822"/>
      <c r="S572" s="822"/>
      <c r="T572" s="822"/>
      <c r="U572" s="822"/>
      <c r="V572" s="822"/>
      <c r="W572" s="822"/>
      <c r="X572" s="822"/>
      <c r="Y572" s="823"/>
      <c r="Z572" s="823"/>
      <c r="AA572" s="823"/>
    </row>
    <row r="573" spans="1:33" x14ac:dyDescent="0.25">
      <c r="A573" s="1035">
        <v>564</v>
      </c>
      <c r="B573" s="1035" t="s">
        <v>49</v>
      </c>
      <c r="C573" s="1035" t="s">
        <v>153</v>
      </c>
      <c r="D573" s="1127" t="s">
        <v>356</v>
      </c>
      <c r="E573" s="1128">
        <f>IF(G570&gt;E558,E558,G570)</f>
        <v>0</v>
      </c>
      <c r="I573" s="1029"/>
      <c r="J573" s="848"/>
      <c r="K573" s="865"/>
      <c r="L573" s="870">
        <f t="shared" si="50"/>
        <v>0</v>
      </c>
      <c r="M573" s="871">
        <f t="shared" si="51"/>
        <v>1</v>
      </c>
      <c r="N573" s="830"/>
      <c r="O573" s="822"/>
      <c r="P573" s="822"/>
      <c r="Q573" s="822"/>
      <c r="R573" s="822"/>
      <c r="S573" s="822"/>
      <c r="T573" s="822"/>
      <c r="U573" s="822"/>
      <c r="V573" s="822"/>
      <c r="W573" s="822"/>
      <c r="X573" s="822"/>
      <c r="Y573" s="823"/>
      <c r="Z573" s="823"/>
      <c r="AA573" s="823"/>
    </row>
    <row r="574" spans="1:33" x14ac:dyDescent="0.25">
      <c r="A574" s="1035">
        <v>565</v>
      </c>
      <c r="B574" s="1035" t="s">
        <v>49</v>
      </c>
      <c r="C574" s="1035" t="s">
        <v>153</v>
      </c>
      <c r="D574" s="1129" t="s">
        <v>86</v>
      </c>
      <c r="E574" s="1130">
        <f>Ene08_29</f>
        <v>0</v>
      </c>
      <c r="I574" s="913"/>
      <c r="J574" s="848"/>
      <c r="K574" s="865"/>
      <c r="L574" s="870">
        <f t="shared" si="50"/>
        <v>0</v>
      </c>
      <c r="M574" s="871">
        <f t="shared" si="51"/>
        <v>1</v>
      </c>
      <c r="N574" s="830"/>
      <c r="O574" s="822"/>
      <c r="P574" s="822"/>
      <c r="Q574" s="822"/>
      <c r="R574" s="822"/>
      <c r="S574" s="822"/>
      <c r="T574" s="822"/>
      <c r="U574" s="822"/>
      <c r="V574" s="822"/>
      <c r="W574" s="822"/>
      <c r="X574" s="822"/>
      <c r="Y574" s="823"/>
      <c r="Z574" s="823"/>
      <c r="AA574" s="823"/>
    </row>
    <row r="575" spans="1:33" x14ac:dyDescent="0.25">
      <c r="A575" s="1035">
        <v>566</v>
      </c>
      <c r="B575" s="1035" t="s">
        <v>49</v>
      </c>
      <c r="C575" s="1035" t="s">
        <v>153</v>
      </c>
      <c r="D575" s="1131" t="s">
        <v>357</v>
      </c>
      <c r="E575" s="1128" t="s">
        <v>16</v>
      </c>
      <c r="I575" s="913"/>
      <c r="J575" s="848"/>
      <c r="K575" s="865"/>
      <c r="L575" s="870">
        <f t="shared" si="50"/>
        <v>0</v>
      </c>
      <c r="M575" s="871">
        <f t="shared" si="51"/>
        <v>1</v>
      </c>
      <c r="N575" s="830"/>
      <c r="O575" s="822"/>
      <c r="P575" s="822"/>
      <c r="Q575" s="822"/>
      <c r="R575" s="822"/>
      <c r="S575" s="822"/>
      <c r="T575" s="822"/>
      <c r="U575" s="822"/>
      <c r="V575" s="822"/>
      <c r="W575" s="822"/>
      <c r="X575" s="822"/>
      <c r="Y575" s="823"/>
      <c r="Z575" s="823"/>
      <c r="AA575" s="823"/>
    </row>
    <row r="576" spans="1:33" ht="15.75" thickBot="1" x14ac:dyDescent="0.3">
      <c r="A576" s="1035">
        <v>567</v>
      </c>
      <c r="B576" s="1035" t="s">
        <v>49</v>
      </c>
      <c r="C576" s="1035" t="s">
        <v>153</v>
      </c>
      <c r="D576" s="1132" t="s">
        <v>55</v>
      </c>
      <c r="E576" s="1133" t="s">
        <v>16</v>
      </c>
      <c r="F576" s="1134"/>
      <c r="G576" s="1135"/>
      <c r="I576" s="913"/>
      <c r="J576" s="848"/>
      <c r="K576" s="865"/>
      <c r="L576" s="870">
        <f t="shared" si="50"/>
        <v>0</v>
      </c>
      <c r="M576" s="873">
        <f t="shared" si="51"/>
        <v>1</v>
      </c>
      <c r="N576" s="830"/>
      <c r="O576" s="822"/>
      <c r="P576" s="822"/>
      <c r="Q576" s="822"/>
      <c r="R576" s="822"/>
      <c r="S576" s="822"/>
      <c r="T576" s="822"/>
      <c r="U576" s="822"/>
      <c r="V576" s="822"/>
      <c r="W576" s="822"/>
      <c r="X576" s="822"/>
      <c r="Y576" s="823"/>
      <c r="Z576" s="823"/>
      <c r="AA576" s="823"/>
    </row>
    <row r="577" spans="1:33" ht="15.75" thickBot="1" x14ac:dyDescent="0.3">
      <c r="A577" s="1035">
        <v>568</v>
      </c>
      <c r="B577" s="1035" t="s">
        <v>49</v>
      </c>
      <c r="C577" s="1035" t="s">
        <v>153</v>
      </c>
      <c r="I577" s="913"/>
      <c r="J577" s="848"/>
      <c r="K577" s="865"/>
      <c r="L577" s="873">
        <f>IF(E570=AIS_Yes,1,0)</f>
        <v>0</v>
      </c>
      <c r="M577" s="863"/>
      <c r="N577" s="801"/>
      <c r="O577" s="822"/>
      <c r="P577" s="822"/>
      <c r="Q577" s="822"/>
      <c r="R577" s="822"/>
      <c r="S577" s="822"/>
      <c r="T577" s="822"/>
      <c r="U577" s="822"/>
      <c r="V577" s="822"/>
      <c r="W577" s="822"/>
      <c r="X577" s="822"/>
      <c r="Y577" s="823"/>
      <c r="Z577" s="823"/>
      <c r="AA577" s="823"/>
    </row>
    <row r="578" spans="1:33" ht="15.75" thickBot="1" x14ac:dyDescent="0.3">
      <c r="A578" s="1035">
        <v>569</v>
      </c>
      <c r="B578" s="1035" t="s">
        <v>49</v>
      </c>
      <c r="C578" s="1035" t="s">
        <v>153</v>
      </c>
      <c r="D578" s="1136" t="s">
        <v>359</v>
      </c>
      <c r="E578" s="1136" t="s">
        <v>977</v>
      </c>
      <c r="F578" s="1136" t="str">
        <f>HLOOKUP(C578,'Assessment References'!$H$512:$BG$513,2,FALSE)</f>
        <v/>
      </c>
      <c r="G578" s="1137"/>
      <c r="H578" s="1138"/>
      <c r="I578" s="913"/>
      <c r="J578" s="848"/>
      <c r="K578" s="865"/>
      <c r="L578" s="880">
        <f>SUM(L571:L577)+SUM(M571:M576)</f>
        <v>6</v>
      </c>
      <c r="M578" s="863"/>
      <c r="N578" s="801"/>
      <c r="O578" s="822"/>
      <c r="P578" s="822"/>
      <c r="Q578" s="822"/>
      <c r="R578" s="822"/>
      <c r="S578" s="822"/>
      <c r="T578" s="822"/>
      <c r="U578" s="822"/>
      <c r="V578" s="822"/>
      <c r="W578" s="822"/>
      <c r="X578" s="822"/>
      <c r="Y578" s="823"/>
      <c r="Z578" s="823"/>
      <c r="AA578" s="823"/>
    </row>
    <row r="579" spans="1:33" ht="15.75" thickBot="1" x14ac:dyDescent="0.3">
      <c r="A579" s="1035">
        <v>570</v>
      </c>
      <c r="B579" s="1035" t="s">
        <v>49</v>
      </c>
      <c r="C579" s="1035" t="s">
        <v>153</v>
      </c>
      <c r="D579" s="1363"/>
      <c r="E579" s="1352"/>
      <c r="F579" s="1352"/>
      <c r="G579" s="1352"/>
      <c r="H579" s="1353"/>
      <c r="I579" s="913"/>
      <c r="J579" s="848"/>
      <c r="K579" s="865"/>
      <c r="L579" s="881">
        <f>SUM(L571:L576)</f>
        <v>0</v>
      </c>
      <c r="M579" s="874">
        <f>IF(SUM(M580:M585)&gt;0,0,1)</f>
        <v>1</v>
      </c>
      <c r="N579" s="830"/>
      <c r="O579" s="822"/>
      <c r="P579" s="822"/>
      <c r="Q579" s="822"/>
      <c r="R579" s="822"/>
      <c r="S579" s="822"/>
      <c r="T579" s="822"/>
      <c r="U579" s="822"/>
      <c r="V579" s="822"/>
      <c r="W579" s="822"/>
      <c r="X579" s="822"/>
      <c r="Y579" s="823"/>
      <c r="Z579" s="823"/>
      <c r="AA579" s="823"/>
    </row>
    <row r="580" spans="1:33" x14ac:dyDescent="0.25">
      <c r="A580" s="1035">
        <v>571</v>
      </c>
      <c r="B580" s="1035" t="s">
        <v>49</v>
      </c>
      <c r="C580" s="1035" t="s">
        <v>153</v>
      </c>
      <c r="D580" s="1354"/>
      <c r="E580" s="1355"/>
      <c r="F580" s="1355"/>
      <c r="G580" s="1355"/>
      <c r="H580" s="1356"/>
      <c r="I580" s="913"/>
      <c r="J580" s="848"/>
      <c r="K580" s="865"/>
      <c r="L580" s="878">
        <f>IF(AND(L571=0,M571=0),1,0)</f>
        <v>0</v>
      </c>
      <c r="M580" s="869">
        <f>IF(AND(L571=1,M571=0),1,0)</f>
        <v>0</v>
      </c>
      <c r="N580" s="830"/>
      <c r="O580" s="822"/>
      <c r="P580" s="822"/>
      <c r="Q580" s="822"/>
      <c r="R580" s="822"/>
      <c r="S580" s="822"/>
      <c r="T580" s="822"/>
      <c r="U580" s="822"/>
      <c r="V580" s="822"/>
      <c r="W580" s="822"/>
      <c r="X580" s="822"/>
      <c r="Y580" s="823"/>
      <c r="Z580" s="823"/>
      <c r="AA580" s="823"/>
    </row>
    <row r="581" spans="1:33" x14ac:dyDescent="0.25">
      <c r="A581" s="1035">
        <v>572</v>
      </c>
      <c r="B581" s="1035" t="s">
        <v>49</v>
      </c>
      <c r="C581" s="1035" t="s">
        <v>153</v>
      </c>
      <c r="D581" s="1354"/>
      <c r="E581" s="1355"/>
      <c r="F581" s="1355"/>
      <c r="G581" s="1355"/>
      <c r="H581" s="1356"/>
      <c r="I581" s="913"/>
      <c r="J581" s="848"/>
      <c r="K581" s="865"/>
      <c r="L581" s="870">
        <f t="shared" ref="L581:L585" si="52">IF(AND(L572=0,M572=0),1,0)</f>
        <v>0</v>
      </c>
      <c r="M581" s="871">
        <f t="shared" ref="M581:M585" si="53">IF(AND(L572=1,M572=0),1,0)</f>
        <v>0</v>
      </c>
      <c r="N581" s="830"/>
      <c r="O581" s="822"/>
      <c r="P581" s="822"/>
      <c r="Q581" s="822"/>
      <c r="R581" s="822"/>
      <c r="S581" s="822"/>
      <c r="T581" s="822"/>
      <c r="U581" s="822"/>
      <c r="V581" s="822"/>
      <c r="W581" s="822"/>
      <c r="X581" s="822"/>
      <c r="Y581" s="823"/>
      <c r="Z581" s="823"/>
      <c r="AA581" s="823"/>
    </row>
    <row r="582" spans="1:33" x14ac:dyDescent="0.25">
      <c r="A582" s="1035">
        <v>573</v>
      </c>
      <c r="B582" s="1035" t="s">
        <v>49</v>
      </c>
      <c r="C582" s="1035" t="s">
        <v>153</v>
      </c>
      <c r="D582" s="1364"/>
      <c r="E582" s="1358"/>
      <c r="F582" s="1358"/>
      <c r="G582" s="1358"/>
      <c r="H582" s="1359"/>
      <c r="I582" s="913"/>
      <c r="J582" s="848"/>
      <c r="K582" s="865"/>
      <c r="L582" s="870">
        <f t="shared" si="52"/>
        <v>0</v>
      </c>
      <c r="M582" s="871">
        <f t="shared" si="53"/>
        <v>0</v>
      </c>
      <c r="N582" s="830"/>
      <c r="O582" s="822"/>
      <c r="P582" s="822"/>
      <c r="Q582" s="822"/>
      <c r="R582" s="822"/>
      <c r="S582" s="822"/>
      <c r="T582" s="822"/>
      <c r="U582" s="822"/>
      <c r="V582" s="822"/>
      <c r="W582" s="822"/>
      <c r="X582" s="822"/>
      <c r="Y582" s="823"/>
      <c r="Z582" s="823"/>
      <c r="AA582" s="823"/>
    </row>
    <row r="583" spans="1:33" x14ac:dyDescent="0.25">
      <c r="A583" s="1035">
        <v>574</v>
      </c>
      <c r="B583" s="1035" t="s">
        <v>49</v>
      </c>
      <c r="C583" s="1035" t="s">
        <v>153</v>
      </c>
      <c r="D583" s="1364"/>
      <c r="E583" s="1358"/>
      <c r="F583" s="1358"/>
      <c r="G583" s="1358"/>
      <c r="H583" s="1359"/>
      <c r="I583" s="913"/>
      <c r="J583" s="848"/>
      <c r="K583" s="865"/>
      <c r="L583" s="870">
        <f t="shared" si="52"/>
        <v>0</v>
      </c>
      <c r="M583" s="871">
        <f t="shared" si="53"/>
        <v>0</v>
      </c>
      <c r="N583" s="830"/>
      <c r="O583" s="822"/>
      <c r="P583" s="822"/>
      <c r="Q583" s="822"/>
      <c r="R583" s="822"/>
      <c r="S583" s="822"/>
      <c r="T583" s="822"/>
      <c r="U583" s="822"/>
      <c r="V583" s="822"/>
      <c r="W583" s="822"/>
      <c r="X583" s="822"/>
      <c r="Y583" s="823"/>
      <c r="Z583" s="823"/>
      <c r="AA583" s="823"/>
    </row>
    <row r="584" spans="1:33" x14ac:dyDescent="0.25">
      <c r="A584" s="1035">
        <v>575</v>
      </c>
      <c r="B584" s="1035" t="s">
        <v>49</v>
      </c>
      <c r="C584" s="1035" t="s">
        <v>153</v>
      </c>
      <c r="D584" s="1360"/>
      <c r="E584" s="1361"/>
      <c r="F584" s="1361"/>
      <c r="G584" s="1361"/>
      <c r="H584" s="1362"/>
      <c r="I584" s="913"/>
      <c r="J584" s="848"/>
      <c r="K584" s="865"/>
      <c r="L584" s="870">
        <f t="shared" si="52"/>
        <v>0</v>
      </c>
      <c r="M584" s="871">
        <f>IF(AND(L575=1,M575=0,G566=AIS_PS),0,IF(AND(L575=1,M575=0,G566=L562),1,IF(AND(L575=1,M575=0,G566=L563),2,0)))</f>
        <v>0</v>
      </c>
      <c r="N584" s="830"/>
      <c r="O584" s="822"/>
      <c r="P584" s="822"/>
      <c r="Q584" s="822"/>
      <c r="R584" s="822"/>
      <c r="S584" s="822"/>
      <c r="T584" s="822"/>
      <c r="U584" s="822"/>
      <c r="V584" s="822"/>
      <c r="W584" s="822"/>
      <c r="X584" s="822"/>
      <c r="Y584" s="823"/>
      <c r="Z584" s="823"/>
      <c r="AA584" s="823"/>
    </row>
    <row r="585" spans="1:33" ht="15.75" thickBot="1" x14ac:dyDescent="0.3">
      <c r="A585" s="1035">
        <v>576</v>
      </c>
      <c r="B585" s="1035" t="s">
        <v>49</v>
      </c>
      <c r="C585" s="1035" t="s">
        <v>153</v>
      </c>
      <c r="D585" s="1174"/>
      <c r="E585" s="1175"/>
      <c r="F585" s="1175"/>
      <c r="G585" s="1175"/>
      <c r="H585" s="1175"/>
      <c r="I585" s="913"/>
      <c r="J585" s="848"/>
      <c r="K585" s="865"/>
      <c r="L585" s="872">
        <f t="shared" si="52"/>
        <v>0</v>
      </c>
      <c r="M585" s="873">
        <f t="shared" si="53"/>
        <v>0</v>
      </c>
      <c r="N585" s="830"/>
      <c r="O585" s="822"/>
      <c r="P585" s="822"/>
      <c r="Q585" s="822"/>
      <c r="R585" s="822"/>
      <c r="S585" s="822"/>
      <c r="T585" s="822"/>
      <c r="U585" s="822"/>
      <c r="V585" s="822"/>
      <c r="W585" s="822"/>
      <c r="X585" s="822"/>
      <c r="Y585" s="823"/>
      <c r="Z585" s="823"/>
      <c r="AA585" s="823"/>
    </row>
    <row r="586" spans="1:33" x14ac:dyDescent="0.25">
      <c r="A586" s="1037">
        <v>577</v>
      </c>
      <c r="B586" s="1037" t="s">
        <v>49</v>
      </c>
      <c r="C586" s="802" t="s">
        <v>154</v>
      </c>
      <c r="D586" s="1162" t="s">
        <v>901</v>
      </c>
      <c r="E586" s="1158"/>
      <c r="F586" s="1158"/>
      <c r="G586" s="1159"/>
      <c r="H586" s="1167" t="str">
        <f>IF(Ene09_credits=AIS_credit00,AIS_statement32,"")</f>
        <v>Assessment Issue Not Applicable</v>
      </c>
      <c r="I586" s="913"/>
      <c r="J586" s="848"/>
      <c r="K586" s="865"/>
      <c r="L586" s="809" t="str">
        <f>C586</f>
        <v>Ene 09</v>
      </c>
      <c r="M586" s="863"/>
      <c r="N586" s="801"/>
      <c r="O586" s="822"/>
      <c r="P586" s="822"/>
      <c r="Q586" s="822"/>
      <c r="R586" s="822"/>
      <c r="S586" s="822"/>
      <c r="T586" s="822"/>
      <c r="U586" s="822"/>
      <c r="V586" s="822"/>
      <c r="W586" s="822"/>
      <c r="X586" s="822"/>
      <c r="Y586" s="823"/>
      <c r="Z586" s="823"/>
      <c r="AA586" s="823"/>
    </row>
    <row r="587" spans="1:33" x14ac:dyDescent="0.25">
      <c r="A587" s="1035">
        <v>578</v>
      </c>
      <c r="B587" s="1035" t="s">
        <v>49</v>
      </c>
      <c r="C587" s="1035" t="s">
        <v>154</v>
      </c>
      <c r="D587" s="1107" t="s">
        <v>17</v>
      </c>
      <c r="E587" s="1108">
        <f>Ene09_credits</f>
        <v>0</v>
      </c>
      <c r="F587" s="1109"/>
      <c r="G587" s="1110" t="s">
        <v>85</v>
      </c>
      <c r="H587" s="1111">
        <f>Ene09_07</f>
        <v>0</v>
      </c>
      <c r="I587" s="913"/>
      <c r="J587" s="848"/>
      <c r="K587" s="865"/>
      <c r="L587" s="862"/>
      <c r="M587" s="863"/>
      <c r="N587" s="801"/>
      <c r="O587" s="822"/>
      <c r="P587" s="822"/>
      <c r="Q587" s="822"/>
      <c r="R587" s="822"/>
      <c r="S587" s="822"/>
      <c r="T587" s="822"/>
      <c r="U587" s="822"/>
      <c r="V587" s="822"/>
      <c r="W587" s="822"/>
      <c r="X587" s="822"/>
      <c r="Y587" s="823"/>
      <c r="Z587" s="823"/>
      <c r="AA587" s="823"/>
    </row>
    <row r="588" spans="1:33" x14ac:dyDescent="0.25">
      <c r="A588" s="1035">
        <v>579</v>
      </c>
      <c r="B588" s="1035" t="s">
        <v>49</v>
      </c>
      <c r="C588" s="1035" t="s">
        <v>154</v>
      </c>
      <c r="D588" s="1112" t="s">
        <v>349</v>
      </c>
      <c r="E588" s="1113">
        <v>0</v>
      </c>
      <c r="F588" s="1114"/>
      <c r="G588" s="1115" t="s">
        <v>350</v>
      </c>
      <c r="H588" s="1116" t="s">
        <v>15</v>
      </c>
      <c r="I588" s="913"/>
      <c r="J588" s="848"/>
      <c r="K588" s="865"/>
      <c r="L588" s="862"/>
      <c r="M588" s="863"/>
      <c r="N588" s="801"/>
      <c r="O588" s="822"/>
      <c r="P588" s="822"/>
      <c r="Q588" s="822"/>
      <c r="R588" s="822"/>
      <c r="S588" s="822"/>
      <c r="T588" s="822"/>
      <c r="U588" s="822"/>
      <c r="V588" s="822"/>
      <c r="W588" s="822"/>
      <c r="X588" s="822"/>
      <c r="Y588" s="823"/>
      <c r="Z588" s="823"/>
      <c r="AA588" s="823"/>
    </row>
    <row r="589" spans="1:33" x14ac:dyDescent="0.25">
      <c r="A589" s="1035">
        <v>580</v>
      </c>
      <c r="B589" s="1035" t="s">
        <v>49</v>
      </c>
      <c r="C589" s="1035" t="s">
        <v>154</v>
      </c>
      <c r="I589" s="913"/>
      <c r="J589" s="848"/>
      <c r="K589" s="865"/>
      <c r="L589" s="862"/>
      <c r="M589" s="863"/>
      <c r="N589" s="801"/>
      <c r="O589" s="822"/>
      <c r="P589" s="822"/>
      <c r="Q589" s="822"/>
      <c r="R589" s="822"/>
      <c r="S589" s="822"/>
      <c r="T589" s="822"/>
      <c r="U589" s="822"/>
      <c r="V589" s="822"/>
      <c r="W589" s="822"/>
      <c r="X589" s="822"/>
      <c r="Y589" s="823"/>
      <c r="Z589" s="823"/>
      <c r="AA589" s="823"/>
    </row>
    <row r="590" spans="1:33" ht="15.75" thickBot="1" x14ac:dyDescent="0.3">
      <c r="A590" s="1035">
        <v>581</v>
      </c>
      <c r="B590" s="1035" t="s">
        <v>49</v>
      </c>
      <c r="C590" s="1035" t="s">
        <v>154</v>
      </c>
      <c r="D590" s="1117" t="s">
        <v>351</v>
      </c>
      <c r="E590" s="1118" t="s">
        <v>352</v>
      </c>
      <c r="F590" s="1118" t="s">
        <v>353</v>
      </c>
      <c r="G590" s="1118" t="s">
        <v>354</v>
      </c>
      <c r="H590" s="1118" t="s">
        <v>355</v>
      </c>
      <c r="I590" s="913"/>
      <c r="J590" s="848"/>
      <c r="K590" s="865"/>
      <c r="L590" s="862"/>
      <c r="M590" s="863"/>
      <c r="N590" s="801"/>
      <c r="O590" s="822"/>
      <c r="P590" s="822"/>
      <c r="Q590" s="822"/>
      <c r="R590" s="822"/>
      <c r="S590" s="822"/>
      <c r="T590" s="822"/>
      <c r="U590" s="822"/>
      <c r="V590" s="822"/>
      <c r="W590" s="822"/>
      <c r="X590" s="822"/>
      <c r="Y590" s="823"/>
      <c r="Z590" s="823"/>
      <c r="AA590" s="823"/>
    </row>
    <row r="591" spans="1:33" ht="15.75" thickBot="1" x14ac:dyDescent="0.3">
      <c r="A591" s="1035">
        <v>582</v>
      </c>
      <c r="B591" s="1035" t="s">
        <v>49</v>
      </c>
      <c r="C591" s="1035" t="s">
        <v>154</v>
      </c>
      <c r="D591" s="1142" t="s">
        <v>1029</v>
      </c>
      <c r="E591" s="1098" t="s">
        <v>360</v>
      </c>
      <c r="F591" s="1143">
        <f>E587</f>
        <v>0</v>
      </c>
      <c r="G591" s="1279">
        <f>IF(E591=AIS_Yes,F591,0)*IF(U591=AIS_No,1,IF(H591=AA591,R591,IF(H591=AB591,S591,IF(H591=AC591,T591,1))))</f>
        <v>0</v>
      </c>
      <c r="H591" s="1327" t="s">
        <v>16</v>
      </c>
      <c r="I591" s="913"/>
      <c r="J591" s="848"/>
      <c r="K591" s="865"/>
      <c r="L591" s="862"/>
      <c r="M591" s="863"/>
      <c r="N591" s="801"/>
      <c r="O591" s="1266">
        <v>1</v>
      </c>
      <c r="P591" s="1266">
        <v>0.5</v>
      </c>
      <c r="Q591" s="1267">
        <v>1</v>
      </c>
      <c r="R591" s="1258" t="str">
        <f t="shared" ref="R591" si="54">IF($T$4=AIS_Yes,O591,AIS_NA)</f>
        <v>N/A</v>
      </c>
      <c r="S591" s="1259" t="str">
        <f t="shared" ref="S591" si="55">IF($T$4=AIS_Yes,P591,AIS_NA)</f>
        <v>N/A</v>
      </c>
      <c r="T591" s="1074" t="str">
        <f t="shared" ref="T591" si="56">IF($T$4=AIS_Yes,Q591,AIS_NA)</f>
        <v>N/A</v>
      </c>
      <c r="U591" s="1265" t="str">
        <f>IF(E587=0,AIS_No,IF(AND($T$4=AIS_Yes,OR(R591&lt;&gt;AIS_NA,S591&lt;&gt;AIS_NA,T591&lt;&gt;AIS_NA)),AIS_Yes,AIS_No))</f>
        <v>No</v>
      </c>
      <c r="V591" s="1258" t="str">
        <f>AIS_option01</f>
        <v>N/A</v>
      </c>
      <c r="W591" s="1259" t="str">
        <f>AIS_option02_50</f>
        <v>Option 2: -50%</v>
      </c>
      <c r="X591" s="1272" t="str">
        <f>AIS_option03</f>
        <v>N/A</v>
      </c>
      <c r="Y591" s="1273"/>
      <c r="Z591" s="1282" t="str">
        <f>AIS_NA</f>
        <v>N/A</v>
      </c>
      <c r="AA591" s="1274" t="str">
        <f>IF(U591=AIS_Yes,V591,AIS_NA)</f>
        <v>N/A</v>
      </c>
      <c r="AB591" s="1274" t="str">
        <f>IF(U591=AIS_Yes,W591,AIS_NA)</f>
        <v>N/A</v>
      </c>
      <c r="AC591" s="1275" t="str">
        <f>IF(U591=AIS_Yes,X591,AIS_NA)</f>
        <v>N/A</v>
      </c>
      <c r="AD591" s="1276" t="str">
        <f>C591</f>
        <v>Ene 09</v>
      </c>
      <c r="AE591" s="1262" t="str">
        <f>D586</f>
        <v>Drying space</v>
      </c>
      <c r="AF591" s="1263" t="str">
        <f>H591</f>
        <v>N/A</v>
      </c>
      <c r="AG591" s="768">
        <f>IF(U591=AIS_No,1,IF(H591=AA591,R591,IF(H591=AB591,S591,IF(H591=AC591,T591,1))))</f>
        <v>1</v>
      </c>
    </row>
    <row r="592" spans="1:33" x14ac:dyDescent="0.25">
      <c r="A592" s="1035">
        <v>583</v>
      </c>
      <c r="B592" s="1035" t="s">
        <v>49</v>
      </c>
      <c r="C592" s="1035" t="s">
        <v>154</v>
      </c>
      <c r="E592" s="1144"/>
      <c r="I592" s="913"/>
      <c r="J592" s="848"/>
      <c r="K592" s="865"/>
      <c r="L592" s="862"/>
      <c r="M592" s="863"/>
      <c r="N592" s="801"/>
      <c r="O592" s="822"/>
      <c r="P592" s="822"/>
      <c r="Q592" s="822"/>
      <c r="R592" s="822"/>
      <c r="S592" s="822"/>
      <c r="T592" s="822"/>
      <c r="U592" s="822"/>
      <c r="V592" s="822"/>
      <c r="W592" s="822"/>
      <c r="X592" s="822"/>
      <c r="Y592" s="823"/>
      <c r="Z592" s="823"/>
      <c r="AA592" s="823"/>
    </row>
    <row r="593" spans="1:27" x14ac:dyDescent="0.25">
      <c r="A593" s="1035">
        <v>584</v>
      </c>
      <c r="B593" s="1035" t="s">
        <v>49</v>
      </c>
      <c r="C593" s="1035" t="s">
        <v>154</v>
      </c>
      <c r="D593" s="1127" t="s">
        <v>356</v>
      </c>
      <c r="E593" s="1278">
        <f>G591</f>
        <v>0</v>
      </c>
      <c r="I593" s="1029"/>
      <c r="J593" s="848"/>
      <c r="K593" s="865"/>
      <c r="L593" s="862"/>
      <c r="M593" s="863"/>
      <c r="N593" s="801"/>
      <c r="O593" s="822"/>
      <c r="P593" s="822"/>
      <c r="Q593" s="822"/>
      <c r="R593" s="822"/>
      <c r="S593" s="822"/>
      <c r="T593" s="822"/>
      <c r="U593" s="822"/>
      <c r="V593" s="822"/>
      <c r="W593" s="822"/>
      <c r="X593" s="822"/>
      <c r="Y593" s="823"/>
      <c r="Z593" s="823"/>
      <c r="AA593" s="823"/>
    </row>
    <row r="594" spans="1:27" x14ac:dyDescent="0.25">
      <c r="A594" s="1035">
        <v>585</v>
      </c>
      <c r="B594" s="1035" t="s">
        <v>49</v>
      </c>
      <c r="C594" s="1035" t="s">
        <v>154</v>
      </c>
      <c r="D594" s="1129" t="s">
        <v>86</v>
      </c>
      <c r="E594" s="1130">
        <f>Ene09_10</f>
        <v>0</v>
      </c>
      <c r="I594" s="913"/>
      <c r="J594" s="848"/>
      <c r="K594" s="865"/>
      <c r="L594" s="862"/>
      <c r="M594" s="863"/>
      <c r="N594" s="801"/>
      <c r="O594" s="822"/>
      <c r="P594" s="822"/>
      <c r="Q594" s="822"/>
      <c r="R594" s="822"/>
      <c r="S594" s="822"/>
      <c r="T594" s="822"/>
      <c r="U594" s="822"/>
      <c r="V594" s="822"/>
      <c r="W594" s="822"/>
      <c r="X594" s="822"/>
      <c r="Y594" s="823"/>
      <c r="Z594" s="823"/>
      <c r="AA594" s="823"/>
    </row>
    <row r="595" spans="1:27" x14ac:dyDescent="0.25">
      <c r="A595" s="1035">
        <v>586</v>
      </c>
      <c r="B595" s="1035" t="s">
        <v>49</v>
      </c>
      <c r="C595" s="1035" t="s">
        <v>154</v>
      </c>
      <c r="D595" s="1131" t="s">
        <v>357</v>
      </c>
      <c r="E595" s="1128" t="s">
        <v>16</v>
      </c>
      <c r="I595" s="913"/>
      <c r="J595" s="848"/>
      <c r="K595" s="865"/>
      <c r="L595" s="862"/>
      <c r="M595" s="863"/>
      <c r="N595" s="801"/>
      <c r="O595" s="822"/>
      <c r="P595" s="822"/>
      <c r="Q595" s="822"/>
      <c r="R595" s="822"/>
      <c r="S595" s="822"/>
      <c r="T595" s="822"/>
      <c r="U595" s="822"/>
      <c r="V595" s="822"/>
      <c r="W595" s="822"/>
      <c r="X595" s="822"/>
      <c r="Y595" s="823"/>
      <c r="Z595" s="823"/>
      <c r="AA595" s="823"/>
    </row>
    <row r="596" spans="1:27" x14ac:dyDescent="0.25">
      <c r="A596" s="1035">
        <v>587</v>
      </c>
      <c r="B596" s="1035" t="s">
        <v>49</v>
      </c>
      <c r="C596" s="1035" t="s">
        <v>154</v>
      </c>
      <c r="D596" s="1132" t="s">
        <v>55</v>
      </c>
      <c r="E596" s="1133" t="s">
        <v>16</v>
      </c>
      <c r="F596" s="1134"/>
      <c r="G596" s="1135"/>
      <c r="I596" s="913"/>
      <c r="J596" s="848"/>
      <c r="K596" s="865"/>
      <c r="L596" s="862"/>
      <c r="M596" s="863"/>
      <c r="N596" s="801"/>
      <c r="O596" s="822"/>
      <c r="P596" s="822"/>
      <c r="Q596" s="822"/>
      <c r="R596" s="822"/>
      <c r="S596" s="822"/>
      <c r="T596" s="822"/>
      <c r="U596" s="822"/>
      <c r="V596" s="822"/>
      <c r="W596" s="822"/>
      <c r="X596" s="822"/>
      <c r="Y596" s="823"/>
      <c r="Z596" s="823"/>
      <c r="AA596" s="823"/>
    </row>
    <row r="597" spans="1:27" x14ac:dyDescent="0.25">
      <c r="A597" s="1035">
        <v>588</v>
      </c>
      <c r="B597" s="1035" t="s">
        <v>49</v>
      </c>
      <c r="C597" s="1035" t="s">
        <v>154</v>
      </c>
      <c r="I597" s="913"/>
      <c r="J597" s="848"/>
      <c r="K597" s="865"/>
      <c r="L597" s="862"/>
      <c r="M597" s="863"/>
      <c r="N597" s="801"/>
      <c r="O597" s="822"/>
      <c r="P597" s="822"/>
      <c r="Q597" s="822"/>
      <c r="R597" s="822"/>
      <c r="S597" s="822"/>
      <c r="T597" s="822"/>
      <c r="U597" s="822"/>
      <c r="V597" s="822"/>
      <c r="W597" s="822"/>
      <c r="X597" s="822"/>
      <c r="Y597" s="823"/>
      <c r="Z597" s="823"/>
      <c r="AA597" s="823"/>
    </row>
    <row r="598" spans="1:27" x14ac:dyDescent="0.25">
      <c r="A598" s="1035">
        <v>589</v>
      </c>
      <c r="B598" s="1035" t="s">
        <v>49</v>
      </c>
      <c r="C598" s="1035" t="s">
        <v>154</v>
      </c>
      <c r="D598" s="1136" t="s">
        <v>359</v>
      </c>
      <c r="E598" s="1136" t="s">
        <v>977</v>
      </c>
      <c r="F598" s="1136" t="str">
        <f>HLOOKUP(C598,'Assessment References'!$H$512:$BG$513,2,FALSE)</f>
        <v/>
      </c>
      <c r="G598" s="1137"/>
      <c r="H598" s="1138"/>
      <c r="I598" s="913"/>
      <c r="J598" s="848"/>
      <c r="K598" s="865"/>
      <c r="L598" s="862"/>
      <c r="M598" s="863"/>
      <c r="N598" s="801"/>
      <c r="O598" s="822"/>
      <c r="P598" s="822"/>
      <c r="Q598" s="822"/>
      <c r="R598" s="822"/>
      <c r="S598" s="822"/>
      <c r="T598" s="822"/>
      <c r="U598" s="822"/>
      <c r="V598" s="822"/>
      <c r="W598" s="822"/>
      <c r="X598" s="822"/>
      <c r="Y598" s="823"/>
      <c r="Z598" s="823"/>
      <c r="AA598" s="823"/>
    </row>
    <row r="599" spans="1:27" x14ac:dyDescent="0.25">
      <c r="A599" s="1035">
        <v>590</v>
      </c>
      <c r="B599" s="1035" t="s">
        <v>49</v>
      </c>
      <c r="C599" s="1035" t="s">
        <v>154</v>
      </c>
      <c r="D599" s="1363"/>
      <c r="E599" s="1352"/>
      <c r="F599" s="1352"/>
      <c r="G599" s="1352"/>
      <c r="H599" s="1353"/>
      <c r="I599" s="913"/>
      <c r="J599" s="848"/>
      <c r="K599" s="865"/>
      <c r="L599" s="862"/>
      <c r="M599" s="863"/>
      <c r="N599" s="801"/>
      <c r="O599" s="822"/>
      <c r="P599" s="822"/>
      <c r="Q599" s="822"/>
      <c r="R599" s="822"/>
      <c r="S599" s="822"/>
      <c r="T599" s="822"/>
      <c r="U599" s="822"/>
      <c r="V599" s="822"/>
      <c r="W599" s="822"/>
      <c r="X599" s="822"/>
      <c r="Y599" s="823"/>
      <c r="Z599" s="823"/>
      <c r="AA599" s="823"/>
    </row>
    <row r="600" spans="1:27" x14ac:dyDescent="0.25">
      <c r="A600" s="1035">
        <v>591</v>
      </c>
      <c r="B600" s="1035" t="s">
        <v>49</v>
      </c>
      <c r="C600" s="1035" t="s">
        <v>154</v>
      </c>
      <c r="D600" s="1354"/>
      <c r="E600" s="1355"/>
      <c r="F600" s="1355"/>
      <c r="G600" s="1355"/>
      <c r="H600" s="1356"/>
      <c r="I600" s="913"/>
      <c r="J600" s="848"/>
      <c r="K600" s="865"/>
      <c r="L600" s="862"/>
      <c r="M600" s="863"/>
      <c r="N600" s="801"/>
      <c r="O600" s="822"/>
      <c r="P600" s="822"/>
      <c r="Q600" s="822"/>
      <c r="R600" s="822"/>
      <c r="S600" s="822"/>
      <c r="T600" s="822"/>
      <c r="U600" s="822"/>
      <c r="V600" s="822"/>
      <c r="W600" s="822"/>
      <c r="X600" s="822"/>
      <c r="Y600" s="823"/>
      <c r="Z600" s="823"/>
      <c r="AA600" s="823"/>
    </row>
    <row r="601" spans="1:27" x14ac:dyDescent="0.25">
      <c r="A601" s="1035">
        <v>592</v>
      </c>
      <c r="B601" s="1035" t="s">
        <v>49</v>
      </c>
      <c r="C601" s="1035" t="s">
        <v>154</v>
      </c>
      <c r="D601" s="1354"/>
      <c r="E601" s="1355"/>
      <c r="F601" s="1355"/>
      <c r="G601" s="1355"/>
      <c r="H601" s="1356"/>
      <c r="I601" s="913"/>
      <c r="J601" s="848"/>
      <c r="K601" s="865"/>
      <c r="L601" s="862"/>
      <c r="M601" s="863"/>
      <c r="N601" s="801"/>
      <c r="O601" s="822"/>
      <c r="P601" s="822"/>
      <c r="Q601" s="822"/>
      <c r="R601" s="822"/>
      <c r="S601" s="822"/>
      <c r="T601" s="822"/>
      <c r="U601" s="822"/>
      <c r="V601" s="822"/>
      <c r="W601" s="822"/>
      <c r="X601" s="822"/>
      <c r="Y601" s="823"/>
      <c r="Z601" s="823"/>
      <c r="AA601" s="823"/>
    </row>
    <row r="602" spans="1:27" x14ac:dyDescent="0.25">
      <c r="A602" s="1035">
        <v>593</v>
      </c>
      <c r="B602" s="1035" t="s">
        <v>49</v>
      </c>
      <c r="C602" s="1035" t="s">
        <v>154</v>
      </c>
      <c r="D602" s="1364"/>
      <c r="E602" s="1358"/>
      <c r="F602" s="1358"/>
      <c r="G602" s="1358"/>
      <c r="H602" s="1359"/>
      <c r="I602" s="913"/>
      <c r="J602" s="848"/>
      <c r="K602" s="865"/>
      <c r="L602" s="862"/>
      <c r="M602" s="863"/>
      <c r="N602" s="801"/>
      <c r="O602" s="822"/>
      <c r="P602" s="822"/>
      <c r="Q602" s="822"/>
      <c r="R602" s="822"/>
      <c r="S602" s="822"/>
      <c r="T602" s="822"/>
      <c r="U602" s="822"/>
      <c r="V602" s="822"/>
      <c r="W602" s="822"/>
      <c r="X602" s="822"/>
      <c r="Y602" s="823"/>
      <c r="Z602" s="823"/>
      <c r="AA602" s="823"/>
    </row>
    <row r="603" spans="1:27" x14ac:dyDescent="0.25">
      <c r="A603" s="1035">
        <v>594</v>
      </c>
      <c r="B603" s="1035" t="s">
        <v>49</v>
      </c>
      <c r="C603" s="1035" t="s">
        <v>154</v>
      </c>
      <c r="D603" s="1364"/>
      <c r="E603" s="1358"/>
      <c r="F603" s="1358"/>
      <c r="G603" s="1358"/>
      <c r="H603" s="1359"/>
      <c r="I603" s="913"/>
      <c r="J603" s="848"/>
      <c r="K603" s="865"/>
      <c r="L603" s="862"/>
      <c r="M603" s="863"/>
      <c r="N603" s="801"/>
      <c r="O603" s="822"/>
      <c r="P603" s="822"/>
      <c r="Q603" s="822"/>
      <c r="R603" s="822"/>
      <c r="S603" s="822"/>
      <c r="T603" s="822"/>
      <c r="U603" s="822"/>
      <c r="V603" s="822"/>
      <c r="W603" s="822"/>
      <c r="X603" s="822"/>
      <c r="Y603" s="823"/>
      <c r="Z603" s="823"/>
      <c r="AA603" s="823"/>
    </row>
    <row r="604" spans="1:27" x14ac:dyDescent="0.25">
      <c r="A604" s="1035">
        <v>595</v>
      </c>
      <c r="B604" s="1035" t="s">
        <v>49</v>
      </c>
      <c r="C604" s="1035" t="s">
        <v>154</v>
      </c>
      <c r="D604" s="1360"/>
      <c r="E604" s="1361"/>
      <c r="F604" s="1361"/>
      <c r="G604" s="1361"/>
      <c r="H604" s="1362"/>
      <c r="I604" s="913"/>
      <c r="J604" s="848"/>
      <c r="K604" s="865"/>
      <c r="L604" s="862"/>
      <c r="M604" s="863"/>
      <c r="N604" s="801"/>
      <c r="O604" s="822"/>
      <c r="P604" s="822"/>
      <c r="Q604" s="822"/>
      <c r="R604" s="822"/>
      <c r="S604" s="822"/>
      <c r="T604" s="822"/>
      <c r="U604" s="822"/>
      <c r="V604" s="822"/>
      <c r="W604" s="822"/>
      <c r="X604" s="822"/>
      <c r="Y604" s="823"/>
      <c r="Z604" s="823"/>
      <c r="AA604" s="823"/>
    </row>
    <row r="605" spans="1:27" ht="15.75" thickBot="1" x14ac:dyDescent="0.3">
      <c r="A605" s="1035">
        <v>596</v>
      </c>
      <c r="B605" s="1035" t="s">
        <v>49</v>
      </c>
      <c r="C605" s="1035" t="s">
        <v>154</v>
      </c>
      <c r="D605" s="1174"/>
      <c r="E605" s="1175"/>
      <c r="F605" s="1175"/>
      <c r="G605" s="1175"/>
      <c r="H605" s="1175"/>
      <c r="I605" s="913"/>
      <c r="J605" s="848"/>
      <c r="K605" s="865"/>
      <c r="L605" s="862"/>
      <c r="M605" s="863"/>
      <c r="N605" s="801"/>
      <c r="O605" s="822"/>
      <c r="P605" s="822"/>
      <c r="Q605" s="822"/>
      <c r="R605" s="822"/>
      <c r="S605" s="822"/>
      <c r="T605" s="822"/>
      <c r="U605" s="822"/>
      <c r="V605" s="822"/>
      <c r="W605" s="822"/>
      <c r="X605" s="822"/>
      <c r="Y605" s="823"/>
      <c r="Z605" s="823"/>
      <c r="AA605" s="823"/>
    </row>
    <row r="606" spans="1:27" x14ac:dyDescent="0.25">
      <c r="A606" s="1037">
        <v>597</v>
      </c>
      <c r="B606" s="1037" t="s">
        <v>49</v>
      </c>
      <c r="C606" s="802" t="s">
        <v>155</v>
      </c>
      <c r="D606" s="1162" t="s">
        <v>902</v>
      </c>
      <c r="E606" s="1158"/>
      <c r="F606" s="1158"/>
      <c r="G606" s="1159"/>
      <c r="H606" s="1159"/>
      <c r="I606" s="913"/>
      <c r="J606" s="848"/>
      <c r="K606" s="865"/>
      <c r="L606" s="809" t="str">
        <f>C606</f>
        <v>Ene 23</v>
      </c>
      <c r="M606" s="863"/>
      <c r="N606" s="801"/>
      <c r="O606" s="822"/>
      <c r="P606" s="822"/>
      <c r="Q606" s="822"/>
      <c r="R606" s="822"/>
      <c r="S606" s="822"/>
      <c r="T606" s="822"/>
      <c r="U606" s="822"/>
      <c r="V606" s="822"/>
      <c r="W606" s="822"/>
      <c r="X606" s="822"/>
      <c r="Y606" s="823"/>
      <c r="Z606" s="823"/>
      <c r="AA606" s="823"/>
    </row>
    <row r="607" spans="1:27" ht="15.75" thickBot="1" x14ac:dyDescent="0.3">
      <c r="A607" s="1035">
        <v>598</v>
      </c>
      <c r="B607" s="1035" t="s">
        <v>49</v>
      </c>
      <c r="C607" s="1035" t="s">
        <v>155</v>
      </c>
      <c r="D607" s="1107" t="s">
        <v>17</v>
      </c>
      <c r="E607" s="1108">
        <f>Ene23_credits</f>
        <v>2</v>
      </c>
      <c r="F607" s="1109"/>
      <c r="G607" s="1110" t="s">
        <v>85</v>
      </c>
      <c r="H607" s="1111">
        <f>Poeng!T40</f>
        <v>1.7272727272727273E-2</v>
      </c>
      <c r="I607" s="913"/>
      <c r="J607" s="848"/>
      <c r="K607" s="865"/>
      <c r="L607" s="862"/>
      <c r="M607" s="863"/>
      <c r="N607" s="801"/>
      <c r="O607" s="822"/>
      <c r="P607" s="822"/>
      <c r="Q607" s="822"/>
      <c r="R607" s="822"/>
      <c r="S607" s="822"/>
      <c r="T607" s="822"/>
      <c r="U607" s="822"/>
      <c r="V607" s="822"/>
      <c r="W607" s="822"/>
      <c r="X607" s="822"/>
      <c r="Y607" s="823"/>
      <c r="Z607" s="823"/>
      <c r="AA607" s="823"/>
    </row>
    <row r="608" spans="1:27" x14ac:dyDescent="0.25">
      <c r="A608" s="1035">
        <v>599</v>
      </c>
      <c r="B608" s="1035" t="s">
        <v>49</v>
      </c>
      <c r="C608" s="1035" t="s">
        <v>155</v>
      </c>
      <c r="D608" s="1112" t="s">
        <v>349</v>
      </c>
      <c r="E608" s="1113">
        <v>0</v>
      </c>
      <c r="F608" s="1114"/>
      <c r="G608" s="1115" t="s">
        <v>350</v>
      </c>
      <c r="H608" s="1116" t="s">
        <v>14</v>
      </c>
      <c r="I608" s="913"/>
      <c r="J608" s="848"/>
      <c r="K608" s="865"/>
      <c r="L608" s="841" t="str">
        <f>ADBT0</f>
        <v>Office</v>
      </c>
      <c r="M608" s="863"/>
      <c r="N608" s="801"/>
      <c r="O608" s="822"/>
      <c r="P608" s="822"/>
      <c r="Q608" s="822"/>
      <c r="R608" s="822"/>
      <c r="S608" s="822"/>
      <c r="T608" s="822"/>
      <c r="U608" s="822"/>
      <c r="V608" s="822"/>
      <c r="W608" s="822"/>
      <c r="X608" s="822"/>
      <c r="Y608" s="823"/>
      <c r="Z608" s="823"/>
      <c r="AA608" s="823"/>
    </row>
    <row r="609" spans="1:33" x14ac:dyDescent="0.25">
      <c r="A609" s="1035">
        <v>600</v>
      </c>
      <c r="B609" s="1035" t="s">
        <v>49</v>
      </c>
      <c r="C609" s="1035" t="s">
        <v>155</v>
      </c>
      <c r="I609" s="913"/>
      <c r="J609" s="848"/>
      <c r="K609" s="865"/>
      <c r="L609" s="845" t="str">
        <f>ADBT12</f>
        <v>Residential</v>
      </c>
      <c r="M609" s="863"/>
      <c r="N609" s="801"/>
      <c r="O609" s="822"/>
      <c r="P609" s="822"/>
      <c r="Q609" s="822"/>
      <c r="R609" s="822"/>
      <c r="S609" s="822"/>
      <c r="T609" s="822"/>
      <c r="U609" s="822"/>
      <c r="V609" s="822"/>
      <c r="W609" s="822"/>
      <c r="X609" s="822"/>
      <c r="Y609" s="823"/>
      <c r="Z609" s="823"/>
      <c r="AA609" s="823"/>
    </row>
    <row r="610" spans="1:33" ht="15.75" thickBot="1" x14ac:dyDescent="0.3">
      <c r="A610" s="1035">
        <v>601</v>
      </c>
      <c r="B610" s="1035" t="s">
        <v>49</v>
      </c>
      <c r="C610" s="1035" t="s">
        <v>155</v>
      </c>
      <c r="D610" s="1117" t="s">
        <v>351</v>
      </c>
      <c r="E610" s="1118" t="s">
        <v>352</v>
      </c>
      <c r="F610" s="1118" t="s">
        <v>353</v>
      </c>
      <c r="G610" s="1118" t="s">
        <v>354</v>
      </c>
      <c r="H610" s="1118" t="s">
        <v>355</v>
      </c>
      <c r="I610" s="913"/>
      <c r="J610" s="848"/>
      <c r="K610" s="865"/>
      <c r="L610" s="862"/>
      <c r="M610" s="863"/>
      <c r="N610" s="801"/>
      <c r="O610" s="822"/>
      <c r="P610" s="822"/>
      <c r="Q610" s="822"/>
      <c r="R610" s="822"/>
      <c r="S610" s="822"/>
      <c r="T610" s="822"/>
      <c r="U610" s="822"/>
      <c r="V610" s="822"/>
      <c r="W610" s="822"/>
      <c r="X610" s="822"/>
      <c r="Y610" s="823"/>
      <c r="Z610" s="823"/>
      <c r="AA610" s="823"/>
    </row>
    <row r="611" spans="1:33" ht="15.75" thickBot="1" x14ac:dyDescent="0.3">
      <c r="A611" s="1035">
        <v>602</v>
      </c>
      <c r="B611" s="1035" t="s">
        <v>49</v>
      </c>
      <c r="C611" s="1035" t="s">
        <v>155</v>
      </c>
      <c r="D611" s="1119" t="s">
        <v>845</v>
      </c>
      <c r="E611" s="1093" t="s">
        <v>360</v>
      </c>
      <c r="F611" s="1143">
        <f>E607</f>
        <v>2</v>
      </c>
      <c r="G611" s="1143">
        <f>IF(SUM(L611:L616)=6,F611,0)</f>
        <v>0</v>
      </c>
      <c r="H611" s="1327" t="s">
        <v>16</v>
      </c>
      <c r="I611" s="913"/>
      <c r="J611" s="848"/>
      <c r="K611" s="865"/>
      <c r="L611" s="882">
        <f>IF(E611=AIS_Yes,1,0)</f>
        <v>0</v>
      </c>
      <c r="M611" s="863"/>
      <c r="N611" s="801"/>
      <c r="O611" s="1266">
        <v>1</v>
      </c>
      <c r="P611" s="1266">
        <v>0</v>
      </c>
      <c r="Q611" s="1267">
        <v>1</v>
      </c>
      <c r="R611" s="1258" t="str">
        <f t="shared" ref="R611" si="57">IF($T$4=AIS_Yes,O611,AIS_NA)</f>
        <v>N/A</v>
      </c>
      <c r="S611" s="1259" t="str">
        <f t="shared" ref="S611" si="58">IF($T$4=AIS_Yes,P611,AIS_NA)</f>
        <v>N/A</v>
      </c>
      <c r="T611" s="1074" t="str">
        <f t="shared" ref="T611" si="59">IF($T$4=AIS_Yes,Q611,AIS_NA)</f>
        <v>N/A</v>
      </c>
      <c r="U611" s="1265" t="str">
        <f>IF(AND($T$4=AIS_Yes,OR(R611&lt;&gt;AIS_NA,S611&lt;&gt;AIS_NA,T611&lt;&gt;AIS_NA)),AIS_Yes,AIS_No)</f>
        <v>No</v>
      </c>
      <c r="V611" s="1258" t="str">
        <f>AIS_option01</f>
        <v>N/A</v>
      </c>
      <c r="W611" s="1259" t="str">
        <f>AIS_option02a</f>
        <v>N/A</v>
      </c>
      <c r="X611" s="1272" t="str">
        <f>AIS_option03</f>
        <v>N/A</v>
      </c>
      <c r="Y611" s="1273"/>
      <c r="Z611" s="1282"/>
      <c r="AA611" s="1274" t="str">
        <f>IF(U611=AIS_Yes,V611,AIS_NA)</f>
        <v>N/A</v>
      </c>
      <c r="AB611" s="1274" t="str">
        <f>IF(U611=AIS_Yes,W611,AIS_NA)</f>
        <v>N/A</v>
      </c>
      <c r="AC611" s="1275" t="str">
        <f>IF(U611=AIS_Yes,X611,AIS_NA)</f>
        <v>N/A</v>
      </c>
      <c r="AD611" s="1276" t="str">
        <f>C611</f>
        <v>Ene 23</v>
      </c>
      <c r="AE611" s="1262" t="str">
        <f>D606</f>
        <v>Energy performance of building structure and installations</v>
      </c>
      <c r="AF611" s="1263" t="str">
        <f>H611</f>
        <v>N/A</v>
      </c>
      <c r="AG611" s="928">
        <f>IF(U611=AIS_No,1,IF(H611=AA611,R611,IF(H611=AB611,S611,IF(H611=AC611,T611,1))))</f>
        <v>1</v>
      </c>
    </row>
    <row r="612" spans="1:33" x14ac:dyDescent="0.25">
      <c r="A612" s="1035">
        <v>603</v>
      </c>
      <c r="B612" s="1035" t="s">
        <v>49</v>
      </c>
      <c r="C612" s="1035" t="s">
        <v>155</v>
      </c>
      <c r="D612" s="1121" t="s">
        <v>846</v>
      </c>
      <c r="E612" s="1091" t="s">
        <v>360</v>
      </c>
      <c r="I612" s="913"/>
      <c r="J612" s="848"/>
      <c r="K612" s="865"/>
      <c r="L612" s="882">
        <f>IF(E612=AIS_Yes,1,0)</f>
        <v>0</v>
      </c>
      <c r="M612" s="863"/>
      <c r="N612" s="801"/>
      <c r="O612" s="822"/>
      <c r="P612" s="822"/>
      <c r="Q612" s="822"/>
      <c r="R612" s="822"/>
      <c r="S612" s="822"/>
      <c r="T612" s="822"/>
      <c r="U612" s="822"/>
      <c r="V612" s="822"/>
      <c r="W612" s="822"/>
      <c r="X612" s="822"/>
      <c r="Y612" s="823"/>
      <c r="Z612" s="823"/>
      <c r="AA612" s="823"/>
    </row>
    <row r="613" spans="1:33" x14ac:dyDescent="0.25">
      <c r="A613" s="1035">
        <v>604</v>
      </c>
      <c r="B613" s="1035" t="s">
        <v>49</v>
      </c>
      <c r="C613" s="1035" t="s">
        <v>155</v>
      </c>
      <c r="D613" s="1121" t="str">
        <f>IF(L608=L609,L619,L618)</f>
        <v>Energy requirements is less or equal to requirement in NS 3701 (passive house)</v>
      </c>
      <c r="E613" s="1091" t="s">
        <v>360</v>
      </c>
      <c r="I613" s="913"/>
      <c r="J613" s="848"/>
      <c r="K613" s="865"/>
      <c r="L613" s="882">
        <f>IF(E613=AIS_Yes,1,0)</f>
        <v>0</v>
      </c>
      <c r="M613" s="863"/>
      <c r="N613" s="801"/>
      <c r="O613" s="822"/>
      <c r="P613" s="822"/>
      <c r="Q613" s="822"/>
      <c r="R613" s="822"/>
      <c r="S613" s="822"/>
      <c r="T613" s="822"/>
      <c r="U613" s="822"/>
      <c r="V613" s="822"/>
      <c r="W613" s="822"/>
      <c r="X613" s="822"/>
      <c r="Y613" s="823"/>
      <c r="Z613" s="823"/>
      <c r="AA613" s="823"/>
    </row>
    <row r="614" spans="1:33" x14ac:dyDescent="0.25">
      <c r="A614" s="1035">
        <v>605</v>
      </c>
      <c r="B614" s="1035" t="s">
        <v>49</v>
      </c>
      <c r="C614" s="1035" t="s">
        <v>155</v>
      </c>
      <c r="D614" s="1121" t="s">
        <v>1030</v>
      </c>
      <c r="E614" s="1091" t="s">
        <v>360</v>
      </c>
      <c r="I614" s="913"/>
      <c r="J614" s="848"/>
      <c r="K614" s="865"/>
      <c r="L614" s="882">
        <f>IF(E614=AIS_Yes,1,0)</f>
        <v>0</v>
      </c>
      <c r="M614" s="863"/>
      <c r="N614" s="801"/>
      <c r="O614" s="822"/>
      <c r="P614" s="822"/>
      <c r="Q614" s="822"/>
      <c r="R614" s="822"/>
      <c r="S614" s="822"/>
      <c r="T614" s="822"/>
      <c r="U614" s="822"/>
      <c r="V614" s="822"/>
      <c r="W614" s="822"/>
      <c r="X614" s="822"/>
      <c r="Y614" s="823"/>
      <c r="Z614" s="823"/>
      <c r="AA614" s="823"/>
    </row>
    <row r="615" spans="1:33" x14ac:dyDescent="0.25">
      <c r="A615" s="1035">
        <v>606</v>
      </c>
      <c r="B615" s="1035" t="s">
        <v>49</v>
      </c>
      <c r="C615" s="1035" t="s">
        <v>155</v>
      </c>
      <c r="D615" s="1121" t="s">
        <v>1224</v>
      </c>
      <c r="E615" s="1091" t="s">
        <v>360</v>
      </c>
      <c r="I615" s="913"/>
      <c r="J615" s="848"/>
      <c r="K615" s="865"/>
      <c r="L615" s="882">
        <f>IF(E615=AIS_Yes,1,0)</f>
        <v>0</v>
      </c>
      <c r="M615" s="863"/>
      <c r="N615" s="801"/>
      <c r="O615" s="822"/>
      <c r="P615" s="822"/>
      <c r="Q615" s="822"/>
      <c r="R615" s="822"/>
      <c r="S615" s="822"/>
      <c r="T615" s="822"/>
      <c r="U615" s="822"/>
      <c r="V615" s="822"/>
      <c r="W615" s="822"/>
      <c r="X615" s="822"/>
      <c r="Y615" s="823"/>
      <c r="Z615" s="823"/>
      <c r="AA615" s="823"/>
    </row>
    <row r="616" spans="1:33" ht="15.75" thickBot="1" x14ac:dyDescent="0.3">
      <c r="A616" s="1035">
        <v>607</v>
      </c>
      <c r="B616" s="1035" t="s">
        <v>49</v>
      </c>
      <c r="C616" s="1035" t="s">
        <v>155</v>
      </c>
      <c r="D616" s="1123" t="s">
        <v>1031</v>
      </c>
      <c r="E616" s="1092" t="s">
        <v>360</v>
      </c>
      <c r="I616" s="913"/>
      <c r="J616" s="848"/>
      <c r="K616" s="865"/>
      <c r="L616" s="882">
        <f>IF(OR(E616=AIS_Yes,E616=AIS_NA),1,0)</f>
        <v>0</v>
      </c>
      <c r="M616" s="863"/>
      <c r="N616" s="801"/>
      <c r="O616" s="822"/>
      <c r="P616" s="822"/>
      <c r="Q616" s="822"/>
      <c r="R616" s="822"/>
      <c r="S616" s="822"/>
      <c r="T616" s="822"/>
      <c r="U616" s="822"/>
      <c r="V616" s="822"/>
      <c r="W616" s="822"/>
      <c r="X616" s="822"/>
      <c r="Y616" s="823"/>
      <c r="Z616" s="823"/>
      <c r="AA616" s="823"/>
    </row>
    <row r="617" spans="1:33" ht="15.75" thickBot="1" x14ac:dyDescent="0.3">
      <c r="A617" s="1035">
        <v>608</v>
      </c>
      <c r="B617" s="1035" t="s">
        <v>49</v>
      </c>
      <c r="C617" s="1035" t="s">
        <v>155</v>
      </c>
      <c r="E617" s="1144"/>
      <c r="I617" s="913"/>
      <c r="J617" s="848"/>
      <c r="K617" s="865"/>
      <c r="L617" s="866"/>
      <c r="M617" s="863"/>
      <c r="N617" s="801"/>
      <c r="O617" s="822"/>
      <c r="P617" s="822"/>
      <c r="Q617" s="822"/>
      <c r="R617" s="822"/>
      <c r="S617" s="822"/>
      <c r="T617" s="822"/>
      <c r="U617" s="822"/>
      <c r="V617" s="822"/>
      <c r="W617" s="822"/>
      <c r="X617" s="822"/>
      <c r="Y617" s="823"/>
      <c r="Z617" s="823"/>
      <c r="AA617" s="823"/>
    </row>
    <row r="618" spans="1:33" x14ac:dyDescent="0.25">
      <c r="A618" s="1035">
        <v>609</v>
      </c>
      <c r="B618" s="1035" t="s">
        <v>49</v>
      </c>
      <c r="C618" s="1035" t="s">
        <v>155</v>
      </c>
      <c r="D618" s="1127" t="s">
        <v>356</v>
      </c>
      <c r="E618" s="1128">
        <f>G611</f>
        <v>0</v>
      </c>
      <c r="I618" s="1029"/>
      <c r="J618" s="848"/>
      <c r="K618" s="865"/>
      <c r="L618" s="883" t="s">
        <v>1032</v>
      </c>
      <c r="M618" s="884" t="s">
        <v>1035</v>
      </c>
      <c r="N618" s="801"/>
      <c r="O618" s="822"/>
      <c r="P618" s="822"/>
      <c r="Q618" s="822"/>
      <c r="R618" s="822"/>
      <c r="S618" s="822"/>
      <c r="T618" s="822"/>
      <c r="U618" s="822"/>
      <c r="V618" s="822"/>
      <c r="W618" s="822"/>
      <c r="X618" s="822"/>
      <c r="Y618" s="823"/>
      <c r="Z618" s="823"/>
      <c r="AA618" s="823"/>
    </row>
    <row r="619" spans="1:33" ht="15.75" thickBot="1" x14ac:dyDescent="0.3">
      <c r="A619" s="1035">
        <v>610</v>
      </c>
      <c r="B619" s="1035" t="s">
        <v>49</v>
      </c>
      <c r="C619" s="1035" t="s">
        <v>155</v>
      </c>
      <c r="D619" s="1129" t="s">
        <v>86</v>
      </c>
      <c r="E619" s="1130">
        <f>Ene23_cont</f>
        <v>0</v>
      </c>
      <c r="I619" s="913"/>
      <c r="J619" s="848"/>
      <c r="K619" s="865"/>
      <c r="L619" s="885" t="s">
        <v>1033</v>
      </c>
      <c r="M619" s="863" t="s">
        <v>1034</v>
      </c>
      <c r="N619" s="801"/>
      <c r="O619" s="822"/>
      <c r="P619" s="822"/>
      <c r="Q619" s="822"/>
      <c r="R619" s="822"/>
      <c r="S619" s="822"/>
      <c r="T619" s="822"/>
      <c r="U619" s="822"/>
      <c r="V619" s="822"/>
      <c r="W619" s="822"/>
      <c r="X619" s="822"/>
      <c r="Y619" s="823"/>
      <c r="Z619" s="823"/>
      <c r="AA619" s="823"/>
    </row>
    <row r="620" spans="1:33" x14ac:dyDescent="0.25">
      <c r="A620" s="1035">
        <v>611</v>
      </c>
      <c r="B620" s="1035" t="s">
        <v>49</v>
      </c>
      <c r="C620" s="1035" t="s">
        <v>155</v>
      </c>
      <c r="D620" s="1131" t="s">
        <v>357</v>
      </c>
      <c r="E620" s="1128" t="s">
        <v>16</v>
      </c>
      <c r="I620" s="913"/>
      <c r="J620" s="848"/>
      <c r="K620" s="865"/>
      <c r="L620" s="886"/>
      <c r="M620" s="863"/>
      <c r="N620" s="801"/>
      <c r="O620" s="822"/>
      <c r="P620" s="822"/>
      <c r="Q620" s="822"/>
      <c r="R620" s="822"/>
      <c r="S620" s="822"/>
      <c r="T620" s="822"/>
      <c r="U620" s="822"/>
      <c r="V620" s="822"/>
      <c r="W620" s="822"/>
      <c r="X620" s="822"/>
      <c r="Y620" s="823"/>
      <c r="Z620" s="823"/>
      <c r="AA620" s="823"/>
    </row>
    <row r="621" spans="1:33" x14ac:dyDescent="0.25">
      <c r="A621" s="1035">
        <v>612</v>
      </c>
      <c r="B621" s="1035" t="s">
        <v>49</v>
      </c>
      <c r="C621" s="1035" t="s">
        <v>155</v>
      </c>
      <c r="D621" s="1132" t="s">
        <v>55</v>
      </c>
      <c r="E621" s="1133" t="str">
        <f>Ene23_minstd</f>
        <v>Excellent</v>
      </c>
      <c r="F621" s="1134"/>
      <c r="G621" s="1135"/>
      <c r="I621" s="913"/>
      <c r="J621" s="848"/>
      <c r="K621" s="865"/>
      <c r="L621" s="862"/>
      <c r="M621" s="863"/>
      <c r="N621" s="801"/>
      <c r="O621" s="822"/>
      <c r="P621" s="822"/>
      <c r="Q621" s="822"/>
      <c r="R621" s="822"/>
      <c r="S621" s="822"/>
      <c r="T621" s="822"/>
      <c r="U621" s="822"/>
      <c r="V621" s="822"/>
      <c r="W621" s="822"/>
      <c r="X621" s="822"/>
      <c r="Y621" s="823"/>
      <c r="Z621" s="823"/>
      <c r="AA621" s="823"/>
    </row>
    <row r="622" spans="1:33" x14ac:dyDescent="0.25">
      <c r="A622" s="1035">
        <v>613</v>
      </c>
      <c r="B622" s="1035" t="s">
        <v>49</v>
      </c>
      <c r="C622" s="1035" t="s">
        <v>155</v>
      </c>
      <c r="I622" s="913"/>
      <c r="J622" s="848"/>
      <c r="K622" s="865"/>
      <c r="L622" s="862"/>
      <c r="M622" s="863"/>
      <c r="N622" s="801"/>
      <c r="O622" s="822"/>
      <c r="P622" s="822"/>
      <c r="Q622" s="822"/>
      <c r="R622" s="822"/>
      <c r="S622" s="822"/>
      <c r="T622" s="822"/>
      <c r="U622" s="822"/>
      <c r="V622" s="822"/>
      <c r="W622" s="822"/>
      <c r="X622" s="822"/>
      <c r="Y622" s="823"/>
      <c r="Z622" s="823"/>
      <c r="AA622" s="823"/>
    </row>
    <row r="623" spans="1:33" x14ac:dyDescent="0.25">
      <c r="A623" s="1035">
        <v>614</v>
      </c>
      <c r="B623" s="1035" t="s">
        <v>49</v>
      </c>
      <c r="C623" s="1035" t="s">
        <v>155</v>
      </c>
      <c r="D623" s="1136" t="s">
        <v>359</v>
      </c>
      <c r="E623" s="1136" t="s">
        <v>977</v>
      </c>
      <c r="F623" s="1136" t="str">
        <f>HLOOKUP(C623,'Assessment References'!$H$512:$BG$513,2,FALSE)</f>
        <v/>
      </c>
      <c r="G623" s="1137"/>
      <c r="H623" s="1138"/>
      <c r="I623" s="913"/>
      <c r="J623" s="848"/>
      <c r="K623" s="865"/>
      <c r="L623" s="862"/>
      <c r="M623" s="863"/>
      <c r="N623" s="801"/>
      <c r="O623" s="822"/>
      <c r="P623" s="822"/>
      <c r="Q623" s="822"/>
      <c r="R623" s="822"/>
      <c r="S623" s="822"/>
      <c r="T623" s="822"/>
      <c r="U623" s="822"/>
      <c r="V623" s="822"/>
      <c r="W623" s="822"/>
      <c r="X623" s="822"/>
      <c r="Y623" s="823"/>
      <c r="Z623" s="823"/>
      <c r="AA623" s="823"/>
    </row>
    <row r="624" spans="1:33" x14ac:dyDescent="0.25">
      <c r="A624" s="1035">
        <v>615</v>
      </c>
      <c r="B624" s="1035" t="s">
        <v>49</v>
      </c>
      <c r="C624" s="1035" t="s">
        <v>155</v>
      </c>
      <c r="D624" s="1363"/>
      <c r="E624" s="1352"/>
      <c r="F624" s="1352"/>
      <c r="G624" s="1352"/>
      <c r="H624" s="1353"/>
      <c r="I624" s="913"/>
      <c r="J624" s="848"/>
      <c r="K624" s="865"/>
      <c r="L624" s="862"/>
      <c r="M624" s="863"/>
      <c r="N624" s="801"/>
      <c r="O624" s="822"/>
      <c r="P624" s="822"/>
      <c r="Q624" s="822"/>
      <c r="R624" s="822"/>
      <c r="S624" s="822"/>
      <c r="T624" s="822"/>
      <c r="U624" s="822"/>
      <c r="V624" s="822"/>
      <c r="W624" s="822"/>
      <c r="X624" s="822"/>
      <c r="Y624" s="823"/>
      <c r="Z624" s="823"/>
      <c r="AA624" s="823"/>
    </row>
    <row r="625" spans="1:27" x14ac:dyDescent="0.25">
      <c r="A625" s="1035">
        <v>616</v>
      </c>
      <c r="B625" s="1035" t="s">
        <v>49</v>
      </c>
      <c r="C625" s="1035" t="s">
        <v>155</v>
      </c>
      <c r="D625" s="1354"/>
      <c r="E625" s="1355"/>
      <c r="F625" s="1355"/>
      <c r="G625" s="1355"/>
      <c r="H625" s="1356"/>
      <c r="I625" s="913"/>
      <c r="J625" s="848"/>
      <c r="K625" s="865"/>
      <c r="L625" s="862"/>
      <c r="M625" s="863"/>
      <c r="N625" s="801"/>
      <c r="O625" s="822"/>
      <c r="P625" s="822"/>
      <c r="Q625" s="822"/>
      <c r="R625" s="822"/>
      <c r="S625" s="822"/>
      <c r="T625" s="822"/>
      <c r="U625" s="822"/>
      <c r="V625" s="822"/>
      <c r="W625" s="822"/>
      <c r="X625" s="822"/>
      <c r="Y625" s="823"/>
      <c r="Z625" s="823"/>
      <c r="AA625" s="823"/>
    </row>
    <row r="626" spans="1:27" x14ac:dyDescent="0.25">
      <c r="A626" s="1035">
        <v>617</v>
      </c>
      <c r="B626" s="1035" t="s">
        <v>49</v>
      </c>
      <c r="C626" s="1035" t="s">
        <v>155</v>
      </c>
      <c r="D626" s="1354"/>
      <c r="E626" s="1355"/>
      <c r="F626" s="1355"/>
      <c r="G626" s="1355"/>
      <c r="H626" s="1356"/>
      <c r="I626" s="913"/>
      <c r="J626" s="848"/>
      <c r="K626" s="865"/>
      <c r="L626" s="862"/>
      <c r="M626" s="863"/>
      <c r="N626" s="801"/>
      <c r="O626" s="822"/>
      <c r="P626" s="822"/>
      <c r="Q626" s="822"/>
      <c r="R626" s="822"/>
      <c r="S626" s="822"/>
      <c r="T626" s="822"/>
      <c r="U626" s="822"/>
      <c r="V626" s="822"/>
      <c r="W626" s="822"/>
      <c r="X626" s="822"/>
      <c r="Y626" s="823"/>
      <c r="Z626" s="823"/>
      <c r="AA626" s="823"/>
    </row>
    <row r="627" spans="1:27" x14ac:dyDescent="0.25">
      <c r="A627" s="1035">
        <v>618</v>
      </c>
      <c r="B627" s="1035" t="s">
        <v>49</v>
      </c>
      <c r="C627" s="1035" t="s">
        <v>155</v>
      </c>
      <c r="D627" s="1364"/>
      <c r="E627" s="1358"/>
      <c r="F627" s="1358"/>
      <c r="G627" s="1358"/>
      <c r="H627" s="1359"/>
      <c r="I627" s="913"/>
      <c r="J627" s="848"/>
      <c r="K627" s="865"/>
      <c r="L627" s="862"/>
      <c r="M627" s="863"/>
      <c r="N627" s="801"/>
      <c r="O627" s="822"/>
      <c r="P627" s="822"/>
      <c r="Q627" s="822"/>
      <c r="R627" s="822"/>
      <c r="S627" s="822"/>
      <c r="T627" s="822"/>
      <c r="U627" s="822"/>
      <c r="V627" s="822"/>
      <c r="W627" s="822"/>
      <c r="X627" s="822"/>
      <c r="Y627" s="823"/>
      <c r="Z627" s="823"/>
      <c r="AA627" s="823"/>
    </row>
    <row r="628" spans="1:27" x14ac:dyDescent="0.25">
      <c r="A628" s="1035">
        <v>619</v>
      </c>
      <c r="B628" s="1035" t="s">
        <v>49</v>
      </c>
      <c r="C628" s="1035" t="s">
        <v>155</v>
      </c>
      <c r="D628" s="1364"/>
      <c r="E628" s="1358"/>
      <c r="F628" s="1358"/>
      <c r="G628" s="1358"/>
      <c r="H628" s="1359"/>
      <c r="I628" s="913"/>
      <c r="J628" s="848"/>
      <c r="K628" s="865"/>
      <c r="L628" s="862"/>
      <c r="M628" s="863"/>
      <c r="N628" s="801"/>
      <c r="O628" s="822"/>
      <c r="P628" s="822"/>
      <c r="Q628" s="822"/>
      <c r="R628" s="822"/>
      <c r="S628" s="822"/>
      <c r="T628" s="822"/>
      <c r="U628" s="822"/>
      <c r="V628" s="822"/>
      <c r="W628" s="822"/>
      <c r="X628" s="822"/>
      <c r="Y628" s="823"/>
      <c r="Z628" s="823"/>
      <c r="AA628" s="823"/>
    </row>
    <row r="629" spans="1:27" x14ac:dyDescent="0.25">
      <c r="A629" s="1035">
        <v>620</v>
      </c>
      <c r="B629" s="1035" t="s">
        <v>49</v>
      </c>
      <c r="C629" s="1035" t="s">
        <v>155</v>
      </c>
      <c r="D629" s="1360"/>
      <c r="E629" s="1361"/>
      <c r="F629" s="1361"/>
      <c r="G629" s="1361"/>
      <c r="H629" s="1362"/>
      <c r="I629" s="913"/>
      <c r="J629" s="848"/>
      <c r="K629" s="865"/>
      <c r="L629" s="862"/>
      <c r="M629" s="863"/>
      <c r="N629" s="801"/>
      <c r="O629" s="822"/>
      <c r="P629" s="822"/>
      <c r="Q629" s="822"/>
      <c r="R629" s="822"/>
      <c r="S629" s="822"/>
      <c r="T629" s="822"/>
      <c r="U629" s="822"/>
      <c r="V629" s="822"/>
      <c r="W629" s="822"/>
      <c r="X629" s="822"/>
      <c r="Y629" s="823"/>
      <c r="Z629" s="823"/>
      <c r="AA629" s="823"/>
    </row>
    <row r="630" spans="1:27" x14ac:dyDescent="0.25">
      <c r="A630" s="1035">
        <v>621</v>
      </c>
      <c r="B630" s="1035" t="s">
        <v>49</v>
      </c>
      <c r="C630" s="1035" t="s">
        <v>155</v>
      </c>
      <c r="D630" s="1174"/>
      <c r="E630" s="1175"/>
      <c r="F630" s="1175"/>
      <c r="G630" s="1175"/>
      <c r="H630" s="1175"/>
      <c r="I630" s="913"/>
      <c r="J630" s="848"/>
      <c r="K630" s="865"/>
      <c r="L630" s="862"/>
      <c r="M630" s="863"/>
      <c r="N630" s="801"/>
      <c r="O630" s="822"/>
      <c r="P630" s="822"/>
      <c r="Q630" s="822"/>
      <c r="R630" s="822"/>
      <c r="S630" s="822"/>
      <c r="T630" s="822"/>
      <c r="U630" s="822"/>
      <c r="V630" s="822"/>
      <c r="W630" s="822"/>
      <c r="X630" s="822"/>
      <c r="Y630" s="823"/>
      <c r="Z630" s="823"/>
      <c r="AA630" s="823"/>
    </row>
    <row r="631" spans="1:27" ht="18.75" x14ac:dyDescent="0.3">
      <c r="A631" s="1041">
        <v>622</v>
      </c>
      <c r="B631" s="1032" t="s">
        <v>57</v>
      </c>
      <c r="C631" s="1033"/>
      <c r="D631" s="1154"/>
      <c r="E631" s="1154"/>
      <c r="F631" s="1154"/>
      <c r="G631" s="1154"/>
      <c r="H631" s="1155"/>
      <c r="I631" s="913"/>
      <c r="J631" s="848"/>
      <c r="K631" s="865"/>
      <c r="L631" s="862"/>
      <c r="M631" s="863"/>
      <c r="N631" s="801"/>
      <c r="O631" s="822"/>
      <c r="P631" s="822"/>
      <c r="Q631" s="822"/>
      <c r="R631" s="822"/>
      <c r="S631" s="822"/>
      <c r="T631" s="822"/>
      <c r="U631" s="822"/>
      <c r="V631" s="822"/>
      <c r="W631" s="822"/>
      <c r="X631" s="822"/>
      <c r="Y631" s="823"/>
      <c r="Z631" s="823"/>
      <c r="AA631" s="823"/>
    </row>
    <row r="632" spans="1:27" ht="15.75" thickBot="1" x14ac:dyDescent="0.3">
      <c r="A632" s="1035">
        <v>623</v>
      </c>
      <c r="B632" s="1035" t="s">
        <v>57</v>
      </c>
      <c r="C632" s="1029"/>
      <c r="D632" s="1174"/>
      <c r="E632" s="1175"/>
      <c r="F632" s="1175"/>
      <c r="G632" s="1175"/>
      <c r="H632" s="1175"/>
      <c r="I632" s="913"/>
      <c r="J632" s="848"/>
      <c r="K632" s="865"/>
      <c r="L632" s="862"/>
      <c r="M632" s="863"/>
      <c r="N632" s="801"/>
      <c r="O632" s="822"/>
      <c r="P632" s="822"/>
      <c r="Q632" s="822"/>
      <c r="R632" s="822"/>
      <c r="S632" s="822"/>
      <c r="T632" s="822"/>
      <c r="U632" s="822"/>
      <c r="V632" s="822"/>
      <c r="W632" s="822"/>
      <c r="X632" s="822"/>
      <c r="Y632" s="823"/>
      <c r="Z632" s="823"/>
      <c r="AA632" s="823"/>
    </row>
    <row r="633" spans="1:27" ht="15.75" thickBot="1" x14ac:dyDescent="0.3">
      <c r="A633" s="1037">
        <v>624</v>
      </c>
      <c r="B633" s="1037" t="s">
        <v>57</v>
      </c>
      <c r="C633" s="802" t="s">
        <v>161</v>
      </c>
      <c r="D633" s="1103" t="s">
        <v>903</v>
      </c>
      <c r="E633" s="1104"/>
      <c r="F633" s="1104"/>
      <c r="G633" s="1105"/>
      <c r="H633" s="1105"/>
      <c r="I633" s="913"/>
      <c r="J633" s="848"/>
      <c r="K633" s="865"/>
      <c r="L633" s="809" t="str">
        <f>C633</f>
        <v>Tra 01</v>
      </c>
      <c r="M633" s="863"/>
      <c r="N633" s="801"/>
      <c r="O633" s="822"/>
      <c r="P633" s="822"/>
      <c r="Q633" s="822"/>
      <c r="R633" s="822"/>
      <c r="S633" s="822"/>
      <c r="T633" s="822"/>
      <c r="U633" s="822"/>
      <c r="V633" s="822"/>
      <c r="W633" s="822"/>
      <c r="X633" s="822"/>
      <c r="Y633" s="823"/>
      <c r="Z633" s="823"/>
      <c r="AA633" s="823"/>
    </row>
    <row r="634" spans="1:27" x14ac:dyDescent="0.25">
      <c r="A634" s="1035">
        <v>625</v>
      </c>
      <c r="B634" s="1035" t="s">
        <v>57</v>
      </c>
      <c r="C634" s="1036" t="s">
        <v>161</v>
      </c>
      <c r="D634" s="1107" t="s">
        <v>17</v>
      </c>
      <c r="E634" s="1108">
        <f>Tra01_credits</f>
        <v>3</v>
      </c>
      <c r="F634" s="1109"/>
      <c r="G634" s="1110" t="s">
        <v>85</v>
      </c>
      <c r="H634" s="1111">
        <f>Tra01_07</f>
        <v>3.3333333333333333E-2</v>
      </c>
      <c r="I634" s="913"/>
      <c r="J634" s="848"/>
      <c r="K634" s="865"/>
      <c r="L634" s="810" t="s">
        <v>414</v>
      </c>
      <c r="M634" s="863"/>
      <c r="N634" s="801"/>
      <c r="O634" s="822"/>
      <c r="P634" s="822"/>
      <c r="Q634" s="822"/>
      <c r="R634" s="822"/>
      <c r="S634" s="822"/>
      <c r="T634" s="822"/>
      <c r="U634" s="822"/>
      <c r="V634" s="822"/>
      <c r="W634" s="822"/>
      <c r="X634" s="822"/>
      <c r="Y634" s="823"/>
      <c r="Z634" s="823"/>
      <c r="AA634" s="823"/>
    </row>
    <row r="635" spans="1:27" x14ac:dyDescent="0.25">
      <c r="A635" s="1035">
        <v>626</v>
      </c>
      <c r="B635" s="1035" t="s">
        <v>57</v>
      </c>
      <c r="C635" s="1036" t="s">
        <v>161</v>
      </c>
      <c r="D635" s="1112" t="s">
        <v>349</v>
      </c>
      <c r="E635" s="1113">
        <v>0</v>
      </c>
      <c r="F635" s="1114"/>
      <c r="G635" s="1115" t="s">
        <v>350</v>
      </c>
      <c r="H635" s="1116" t="s">
        <v>15</v>
      </c>
      <c r="I635" s="913"/>
      <c r="J635" s="848"/>
      <c r="K635" s="865"/>
      <c r="L635" s="887" t="s">
        <v>412</v>
      </c>
      <c r="M635" s="863"/>
      <c r="N635" s="801"/>
      <c r="O635" s="822"/>
      <c r="P635" s="822"/>
      <c r="Q635" s="822"/>
      <c r="R635" s="822"/>
      <c r="S635" s="822"/>
      <c r="T635" s="822"/>
      <c r="U635" s="822"/>
      <c r="V635" s="822"/>
      <c r="W635" s="822"/>
      <c r="X635" s="822"/>
      <c r="Y635" s="823"/>
      <c r="Z635" s="823"/>
      <c r="AA635" s="823"/>
    </row>
    <row r="636" spans="1:27" ht="15.75" thickBot="1" x14ac:dyDescent="0.3">
      <c r="A636" s="1035">
        <v>627</v>
      </c>
      <c r="B636" s="1035" t="s">
        <v>57</v>
      </c>
      <c r="C636" s="1036" t="s">
        <v>161</v>
      </c>
      <c r="I636" s="913"/>
      <c r="J636" s="848"/>
      <c r="K636" s="865"/>
      <c r="L636" s="887" t="s">
        <v>533</v>
      </c>
      <c r="M636" s="863"/>
      <c r="N636" s="801"/>
      <c r="O636" s="822"/>
      <c r="P636" s="822"/>
      <c r="Q636" s="822"/>
      <c r="R636" s="822"/>
      <c r="S636" s="822"/>
      <c r="T636" s="822"/>
      <c r="U636" s="822"/>
      <c r="V636" s="822"/>
      <c r="W636" s="822"/>
      <c r="X636" s="822"/>
      <c r="Y636" s="823"/>
      <c r="Z636" s="823"/>
      <c r="AA636" s="823"/>
    </row>
    <row r="637" spans="1:27" ht="15.75" thickBot="1" x14ac:dyDescent="0.3">
      <c r="A637" s="1035">
        <v>628</v>
      </c>
      <c r="B637" s="1035" t="s">
        <v>57</v>
      </c>
      <c r="C637" s="1036" t="s">
        <v>161</v>
      </c>
      <c r="D637" s="1180" t="s">
        <v>1036</v>
      </c>
      <c r="E637" s="1098" t="s">
        <v>414</v>
      </c>
      <c r="I637" s="913"/>
      <c r="J637" s="848"/>
      <c r="K637" s="865"/>
      <c r="L637" s="887" t="s">
        <v>534</v>
      </c>
      <c r="M637" s="863"/>
      <c r="N637" s="801"/>
      <c r="O637" s="822"/>
      <c r="P637" s="822"/>
      <c r="Q637" s="822"/>
      <c r="R637" s="822"/>
      <c r="S637" s="822"/>
      <c r="T637" s="822"/>
      <c r="U637" s="822"/>
      <c r="V637" s="822"/>
      <c r="W637" s="822"/>
      <c r="X637" s="822"/>
      <c r="Y637" s="823"/>
      <c r="Z637" s="823"/>
      <c r="AA637" s="823"/>
    </row>
    <row r="638" spans="1:27" x14ac:dyDescent="0.25">
      <c r="A638" s="1035">
        <v>629</v>
      </c>
      <c r="B638" s="1035" t="s">
        <v>57</v>
      </c>
      <c r="C638" s="1036" t="s">
        <v>161</v>
      </c>
      <c r="I638" s="913"/>
      <c r="J638" s="848"/>
      <c r="K638" s="865"/>
      <c r="L638" s="887" t="s">
        <v>535</v>
      </c>
      <c r="M638" s="863"/>
      <c r="N638" s="801"/>
      <c r="O638" s="822"/>
      <c r="P638" s="822"/>
      <c r="Q638" s="822"/>
      <c r="R638" s="822"/>
      <c r="S638" s="822"/>
      <c r="T638" s="822"/>
      <c r="U638" s="822"/>
      <c r="V638" s="822"/>
      <c r="W638" s="822"/>
      <c r="X638" s="822"/>
      <c r="Y638" s="823"/>
      <c r="Z638" s="823"/>
      <c r="AA638" s="823"/>
    </row>
    <row r="639" spans="1:27" ht="15.75" thickBot="1" x14ac:dyDescent="0.3">
      <c r="A639" s="1035">
        <v>630</v>
      </c>
      <c r="B639" s="1035" t="s">
        <v>57</v>
      </c>
      <c r="C639" s="1036" t="s">
        <v>161</v>
      </c>
      <c r="D639" s="1117" t="s">
        <v>351</v>
      </c>
      <c r="E639" s="1118" t="s">
        <v>352</v>
      </c>
      <c r="F639" s="1118" t="s">
        <v>353</v>
      </c>
      <c r="G639" s="1118" t="s">
        <v>354</v>
      </c>
      <c r="H639" s="1118" t="s">
        <v>355</v>
      </c>
      <c r="I639" s="913"/>
      <c r="J639" s="848"/>
      <c r="K639" s="865"/>
      <c r="L639" s="887" t="s">
        <v>536</v>
      </c>
      <c r="M639" s="863"/>
      <c r="N639" s="801"/>
      <c r="O639" s="822"/>
      <c r="P639" s="822"/>
      <c r="Q639" s="822"/>
      <c r="R639" s="822"/>
      <c r="S639" s="822"/>
      <c r="T639" s="822"/>
      <c r="U639" s="822"/>
      <c r="V639" s="822"/>
      <c r="W639" s="822"/>
      <c r="X639" s="822"/>
      <c r="Y639" s="823"/>
      <c r="Z639" s="823"/>
      <c r="AA639" s="823"/>
    </row>
    <row r="640" spans="1:27" x14ac:dyDescent="0.25">
      <c r="A640" s="1035">
        <v>631</v>
      </c>
      <c r="B640" s="1035" t="s">
        <v>57</v>
      </c>
      <c r="C640" s="1036" t="s">
        <v>161</v>
      </c>
      <c r="D640" s="1119" t="s">
        <v>1056</v>
      </c>
      <c r="E640" s="1181"/>
      <c r="F640" s="1120">
        <f>E634</f>
        <v>3</v>
      </c>
      <c r="G640" s="1120">
        <f>IF(L643&gt;F640,F640,L643)</f>
        <v>0</v>
      </c>
      <c r="H640" s="1331" t="s">
        <v>16</v>
      </c>
      <c r="I640" s="1040"/>
      <c r="K640" s="865"/>
      <c r="L640" s="887" t="s">
        <v>409</v>
      </c>
      <c r="N640" s="830"/>
      <c r="O640" s="102" t="s">
        <v>1273</v>
      </c>
      <c r="P640" s="822"/>
      <c r="Q640" s="822"/>
      <c r="R640" s="822"/>
      <c r="S640" s="822"/>
      <c r="T640" s="822"/>
      <c r="U640" s="822" t="str">
        <f>$T$4</f>
        <v>No</v>
      </c>
      <c r="V640" s="822"/>
      <c r="W640" s="822"/>
      <c r="X640" s="822"/>
      <c r="Y640" s="823"/>
      <c r="Z640" s="823"/>
      <c r="AA640" s="823"/>
    </row>
    <row r="641" spans="1:27" ht="15.75" thickBot="1" x14ac:dyDescent="0.3">
      <c r="A641" s="1035">
        <v>632</v>
      </c>
      <c r="B641" s="1035" t="s">
        <v>57</v>
      </c>
      <c r="C641" s="1036" t="s">
        <v>161</v>
      </c>
      <c r="D641" s="1123" t="s">
        <v>410</v>
      </c>
      <c r="E641" s="1092" t="s">
        <v>360</v>
      </c>
      <c r="F641" s="1140">
        <f>IF(E634=0,0,IF(G640=0,1,0))</f>
        <v>1</v>
      </c>
      <c r="G641" s="1124">
        <f>IF(AND(G640=0,E641=AIS_Yes),F641,0)</f>
        <v>0</v>
      </c>
      <c r="H641" s="1319" t="s">
        <v>16</v>
      </c>
      <c r="I641" s="1043"/>
      <c r="J641" s="864"/>
      <c r="K641" s="865"/>
      <c r="L641" s="888" t="s">
        <v>537</v>
      </c>
      <c r="N641" s="830"/>
      <c r="O641" s="102" t="s">
        <v>1273</v>
      </c>
      <c r="P641" s="822"/>
      <c r="Q641" s="822"/>
      <c r="R641" s="822"/>
      <c r="S641" s="822"/>
      <c r="T641" s="822"/>
      <c r="U641" s="822" t="str">
        <f>$T$4</f>
        <v>No</v>
      </c>
      <c r="V641" s="822"/>
      <c r="W641" s="822"/>
      <c r="X641" s="822"/>
      <c r="Y641" s="823"/>
      <c r="Z641" s="823"/>
      <c r="AA641" s="823"/>
    </row>
    <row r="642" spans="1:27" ht="15.75" thickBot="1" x14ac:dyDescent="0.3">
      <c r="A642" s="1035">
        <v>633</v>
      </c>
      <c r="B642" s="1035" t="s">
        <v>57</v>
      </c>
      <c r="C642" s="1036" t="s">
        <v>161</v>
      </c>
      <c r="I642" s="913"/>
      <c r="J642" s="848"/>
      <c r="K642" s="865"/>
      <c r="L642" s="815">
        <f>IF(E640&lt;0.5,10,IF(E640&lt;1,2,IF(E640&lt;2,3,IF(E640&lt;4,4,IF(E640&lt;8,5,IF(E640&lt;10,6,IF(E640&lt;12,7,IF(E640&lt;18,8,IF(E640&lt;100,9,0)))))))))</f>
        <v>10</v>
      </c>
      <c r="N642" s="830"/>
      <c r="O642" s="822"/>
      <c r="P642" s="822"/>
      <c r="Q642" s="822"/>
      <c r="R642" s="822"/>
      <c r="S642" s="822"/>
      <c r="T642" s="822"/>
      <c r="U642" s="822"/>
      <c r="V642" s="822"/>
      <c r="W642" s="822"/>
      <c r="X642" s="822"/>
      <c r="Y642" s="823"/>
      <c r="Z642" s="823"/>
      <c r="AA642" s="823"/>
    </row>
    <row r="643" spans="1:27" ht="15.75" thickBot="1" x14ac:dyDescent="0.3">
      <c r="A643" s="1035">
        <v>634</v>
      </c>
      <c r="B643" s="1035" t="s">
        <v>57</v>
      </c>
      <c r="C643" s="1036" t="s">
        <v>161</v>
      </c>
      <c r="D643" s="1127" t="s">
        <v>356</v>
      </c>
      <c r="E643" s="1128">
        <f>IF(G640&gt;0,G640,IF(E641=AIS_Yes,G641,0))</f>
        <v>0</v>
      </c>
      <c r="I643" s="913"/>
      <c r="J643" s="848"/>
      <c r="K643" s="865"/>
      <c r="L643" s="815">
        <f>IFERROR(VLOOKUP(E637,Options!B35:K41,'Assessment Issue Scoring'!L642,FALSE),0)</f>
        <v>0</v>
      </c>
      <c r="N643" s="830"/>
      <c r="O643" s="822"/>
      <c r="P643" s="822"/>
      <c r="Q643" s="822"/>
      <c r="R643" s="822"/>
      <c r="S643" s="822"/>
      <c r="T643" s="822"/>
      <c r="U643" s="822"/>
      <c r="V643" s="822"/>
      <c r="W643" s="822"/>
      <c r="X643" s="822"/>
      <c r="Y643" s="823"/>
      <c r="Z643" s="823"/>
      <c r="AA643" s="823"/>
    </row>
    <row r="644" spans="1:27" x14ac:dyDescent="0.25">
      <c r="A644" s="1035">
        <v>635</v>
      </c>
      <c r="B644" s="1035" t="s">
        <v>57</v>
      </c>
      <c r="C644" s="1036" t="s">
        <v>161</v>
      </c>
      <c r="D644" s="1129" t="s">
        <v>86</v>
      </c>
      <c r="E644" s="1130">
        <f>TRa01_08</f>
        <v>0</v>
      </c>
      <c r="I644" s="913"/>
      <c r="J644" s="848"/>
      <c r="K644" s="865"/>
      <c r="L644" s="862"/>
      <c r="N644" s="830"/>
      <c r="O644" s="822"/>
      <c r="P644" s="822"/>
      <c r="Q644" s="822"/>
      <c r="R644" s="822"/>
      <c r="S644" s="822"/>
      <c r="T644" s="822"/>
      <c r="U644" s="822"/>
      <c r="V644" s="822"/>
      <c r="W644" s="822"/>
      <c r="X644" s="822"/>
      <c r="Y644" s="823"/>
      <c r="Z644" s="823"/>
      <c r="AA644" s="823"/>
    </row>
    <row r="645" spans="1:27" x14ac:dyDescent="0.25">
      <c r="A645" s="1035">
        <v>636</v>
      </c>
      <c r="B645" s="1035" t="s">
        <v>57</v>
      </c>
      <c r="C645" s="1036" t="s">
        <v>161</v>
      </c>
      <c r="D645" s="1131" t="s">
        <v>357</v>
      </c>
      <c r="E645" s="1128" t="s">
        <v>16</v>
      </c>
      <c r="I645" s="913"/>
      <c r="J645" s="848"/>
      <c r="K645" s="865"/>
      <c r="L645" s="862"/>
      <c r="N645" s="830"/>
      <c r="O645" s="822"/>
      <c r="P645" s="822"/>
      <c r="Q645" s="822"/>
      <c r="R645" s="822"/>
      <c r="S645" s="822"/>
      <c r="T645" s="822"/>
      <c r="U645" s="822"/>
      <c r="V645" s="822"/>
      <c r="W645" s="822"/>
      <c r="X645" s="822"/>
      <c r="Y645" s="823"/>
      <c r="Z645" s="823"/>
      <c r="AA645" s="823"/>
    </row>
    <row r="646" spans="1:27" x14ac:dyDescent="0.25">
      <c r="A646" s="1035">
        <v>637</v>
      </c>
      <c r="B646" s="1035" t="s">
        <v>57</v>
      </c>
      <c r="C646" s="1036" t="s">
        <v>161</v>
      </c>
      <c r="D646" s="1132" t="s">
        <v>55</v>
      </c>
      <c r="E646" s="1133" t="s">
        <v>16</v>
      </c>
      <c r="F646" s="1134"/>
      <c r="G646" s="1135"/>
      <c r="I646" s="913"/>
      <c r="J646" s="848"/>
      <c r="K646" s="865"/>
      <c r="L646" s="862"/>
      <c r="N646" s="830"/>
      <c r="O646" s="822"/>
      <c r="P646" s="822"/>
      <c r="Q646" s="822"/>
      <c r="R646" s="822"/>
      <c r="S646" s="822"/>
      <c r="T646" s="822"/>
      <c r="U646" s="822"/>
      <c r="V646" s="822"/>
      <c r="W646" s="822"/>
      <c r="X646" s="822"/>
      <c r="Y646" s="823"/>
      <c r="Z646" s="823"/>
      <c r="AA646" s="823"/>
    </row>
    <row r="647" spans="1:27" x14ac:dyDescent="0.25">
      <c r="A647" s="1035">
        <v>638</v>
      </c>
      <c r="B647" s="1035" t="s">
        <v>57</v>
      </c>
      <c r="C647" s="1036" t="s">
        <v>161</v>
      </c>
      <c r="I647" s="913"/>
      <c r="J647" s="848"/>
      <c r="K647" s="865"/>
      <c r="L647" s="862"/>
      <c r="N647" s="830"/>
      <c r="O647" s="822"/>
      <c r="P647" s="822"/>
      <c r="Q647" s="822"/>
      <c r="R647" s="822"/>
      <c r="S647" s="822"/>
      <c r="T647" s="822"/>
      <c r="U647" s="822"/>
      <c r="V647" s="822"/>
      <c r="W647" s="822"/>
      <c r="X647" s="822"/>
      <c r="Y647" s="823"/>
      <c r="Z647" s="823"/>
      <c r="AA647" s="823"/>
    </row>
    <row r="648" spans="1:27" x14ac:dyDescent="0.25">
      <c r="A648" s="1035">
        <v>639</v>
      </c>
      <c r="B648" s="1035" t="s">
        <v>57</v>
      </c>
      <c r="C648" s="1036" t="s">
        <v>161</v>
      </c>
      <c r="D648" s="1136" t="s">
        <v>359</v>
      </c>
      <c r="E648" s="1136" t="s">
        <v>977</v>
      </c>
      <c r="F648" s="1136" t="str">
        <f>HLOOKUP(C648,'Assessment References'!$H$512:$BG$513,2,FALSE)</f>
        <v/>
      </c>
      <c r="G648" s="1137"/>
      <c r="H648" s="1138"/>
      <c r="I648" s="913"/>
      <c r="J648" s="848"/>
      <c r="K648" s="865"/>
      <c r="L648" s="862"/>
      <c r="N648" s="830"/>
      <c r="O648" s="822"/>
      <c r="P648" s="822"/>
      <c r="Q648" s="822"/>
      <c r="R648" s="822"/>
      <c r="S648" s="822"/>
      <c r="T648" s="822"/>
      <c r="U648" s="822"/>
      <c r="V648" s="822"/>
      <c r="W648" s="822"/>
      <c r="X648" s="822"/>
      <c r="Y648" s="823"/>
      <c r="Z648" s="823"/>
      <c r="AA648" s="823"/>
    </row>
    <row r="649" spans="1:27" x14ac:dyDescent="0.25">
      <c r="A649" s="1035">
        <v>640</v>
      </c>
      <c r="B649" s="1035" t="s">
        <v>57</v>
      </c>
      <c r="C649" s="1036" t="s">
        <v>161</v>
      </c>
      <c r="D649" s="1363"/>
      <c r="E649" s="1352"/>
      <c r="F649" s="1352"/>
      <c r="G649" s="1352"/>
      <c r="H649" s="1353"/>
      <c r="I649" s="913"/>
      <c r="J649" s="848"/>
      <c r="K649" s="865"/>
      <c r="L649" s="862"/>
      <c r="N649" s="830"/>
      <c r="O649" s="822"/>
      <c r="P649" s="822"/>
      <c r="Q649" s="822"/>
      <c r="R649" s="822"/>
      <c r="S649" s="822"/>
      <c r="T649" s="822"/>
      <c r="U649" s="822"/>
      <c r="V649" s="822"/>
      <c r="W649" s="822"/>
      <c r="X649" s="822"/>
      <c r="Y649" s="823"/>
      <c r="Z649" s="823"/>
      <c r="AA649" s="823"/>
    </row>
    <row r="650" spans="1:27" x14ac:dyDescent="0.25">
      <c r="A650" s="1035">
        <v>641</v>
      </c>
      <c r="B650" s="1035" t="s">
        <v>57</v>
      </c>
      <c r="C650" s="1036" t="s">
        <v>161</v>
      </c>
      <c r="D650" s="1354"/>
      <c r="E650" s="1355"/>
      <c r="F650" s="1355"/>
      <c r="G650" s="1355"/>
      <c r="H650" s="1356"/>
      <c r="I650" s="913"/>
      <c r="J650" s="848"/>
      <c r="K650" s="865"/>
      <c r="L650" s="862"/>
      <c r="N650" s="830"/>
      <c r="O650" s="822"/>
      <c r="P650" s="822"/>
      <c r="Q650" s="822"/>
      <c r="R650" s="822"/>
      <c r="S650" s="822"/>
      <c r="T650" s="822"/>
      <c r="U650" s="822"/>
      <c r="V650" s="822"/>
      <c r="W650" s="822"/>
      <c r="X650" s="822"/>
      <c r="Y650" s="823"/>
      <c r="Z650" s="823"/>
      <c r="AA650" s="823"/>
    </row>
    <row r="651" spans="1:27" x14ac:dyDescent="0.25">
      <c r="A651" s="1035">
        <v>642</v>
      </c>
      <c r="B651" s="1035" t="s">
        <v>57</v>
      </c>
      <c r="C651" s="1036" t="s">
        <v>161</v>
      </c>
      <c r="D651" s="1354"/>
      <c r="E651" s="1355"/>
      <c r="F651" s="1355"/>
      <c r="G651" s="1355"/>
      <c r="H651" s="1356"/>
      <c r="I651" s="913"/>
      <c r="J651" s="848"/>
      <c r="K651" s="865"/>
      <c r="L651" s="862"/>
      <c r="N651" s="830"/>
      <c r="O651" s="822"/>
      <c r="P651" s="822"/>
      <c r="Q651" s="822"/>
      <c r="R651" s="822"/>
      <c r="S651" s="822"/>
      <c r="T651" s="822"/>
      <c r="U651" s="822"/>
      <c r="V651" s="822"/>
      <c r="W651" s="822"/>
      <c r="X651" s="822"/>
      <c r="Y651" s="823"/>
      <c r="Z651" s="823"/>
      <c r="AA651" s="823"/>
    </row>
    <row r="652" spans="1:27" x14ac:dyDescent="0.25">
      <c r="A652" s="1035">
        <v>643</v>
      </c>
      <c r="B652" s="1035" t="s">
        <v>57</v>
      </c>
      <c r="C652" s="1036" t="s">
        <v>161</v>
      </c>
      <c r="D652" s="1364"/>
      <c r="E652" s="1358"/>
      <c r="F652" s="1358"/>
      <c r="G652" s="1358"/>
      <c r="H652" s="1359"/>
      <c r="I652" s="913"/>
      <c r="J652" s="848"/>
      <c r="K652" s="865"/>
      <c r="L652" s="862"/>
      <c r="N652" s="830"/>
      <c r="O652" s="822"/>
      <c r="P652" s="822"/>
      <c r="Q652" s="822"/>
      <c r="R652" s="822"/>
      <c r="S652" s="822"/>
      <c r="T652" s="822"/>
      <c r="U652" s="822"/>
      <c r="V652" s="822"/>
      <c r="W652" s="822"/>
      <c r="X652" s="822"/>
      <c r="Y652" s="823"/>
      <c r="Z652" s="823"/>
      <c r="AA652" s="823"/>
    </row>
    <row r="653" spans="1:27" x14ac:dyDescent="0.25">
      <c r="A653" s="1035">
        <v>644</v>
      </c>
      <c r="B653" s="1035" t="s">
        <v>57</v>
      </c>
      <c r="C653" s="1036" t="s">
        <v>161</v>
      </c>
      <c r="D653" s="1364"/>
      <c r="E653" s="1358"/>
      <c r="F653" s="1358"/>
      <c r="G653" s="1358"/>
      <c r="H653" s="1359"/>
      <c r="I653" s="913"/>
      <c r="J653" s="848"/>
      <c r="K653" s="865"/>
      <c r="L653" s="862"/>
      <c r="N653" s="830"/>
      <c r="O653" s="822"/>
      <c r="P653" s="822"/>
      <c r="Q653" s="822"/>
      <c r="R653" s="822"/>
      <c r="S653" s="822"/>
      <c r="T653" s="822"/>
      <c r="U653" s="822"/>
      <c r="V653" s="822"/>
      <c r="W653" s="822"/>
      <c r="X653" s="822"/>
      <c r="Y653" s="823"/>
      <c r="Z653" s="823"/>
      <c r="AA653" s="823"/>
    </row>
    <row r="654" spans="1:27" x14ac:dyDescent="0.25">
      <c r="A654" s="1035">
        <v>645</v>
      </c>
      <c r="B654" s="1035" t="s">
        <v>57</v>
      </c>
      <c r="C654" s="1036" t="s">
        <v>161</v>
      </c>
      <c r="D654" s="1360"/>
      <c r="E654" s="1361"/>
      <c r="F654" s="1361"/>
      <c r="G654" s="1361"/>
      <c r="H654" s="1362"/>
      <c r="I654" s="913"/>
      <c r="J654" s="848"/>
      <c r="K654" s="865"/>
      <c r="L654" s="862"/>
      <c r="N654" s="830"/>
      <c r="O654" s="822"/>
      <c r="P654" s="822"/>
      <c r="Q654" s="822"/>
      <c r="R654" s="822"/>
      <c r="S654" s="822"/>
      <c r="T654" s="822"/>
      <c r="U654" s="822"/>
      <c r="V654" s="822"/>
      <c r="W654" s="822"/>
      <c r="X654" s="822"/>
      <c r="Y654" s="823"/>
      <c r="Z654" s="823"/>
      <c r="AA654" s="823"/>
    </row>
    <row r="655" spans="1:27" ht="15.75" thickBot="1" x14ac:dyDescent="0.3">
      <c r="A655" s="1035">
        <v>646</v>
      </c>
      <c r="B655" s="1035" t="s">
        <v>57</v>
      </c>
      <c r="C655" s="1036" t="s">
        <v>161</v>
      </c>
      <c r="D655" s="1174"/>
      <c r="E655" s="1175"/>
      <c r="F655" s="1175"/>
      <c r="G655" s="1175"/>
      <c r="H655" s="1175"/>
      <c r="I655" s="824"/>
      <c r="J655" s="824"/>
      <c r="K655" s="825"/>
      <c r="L655" s="889"/>
      <c r="M655" s="821"/>
      <c r="N655" s="801"/>
      <c r="O655" s="822"/>
      <c r="P655" s="822"/>
      <c r="Q655" s="822"/>
      <c r="R655" s="822"/>
      <c r="S655" s="822"/>
      <c r="T655" s="822"/>
      <c r="U655" s="822"/>
      <c r="V655" s="822"/>
      <c r="W655" s="822"/>
      <c r="X655" s="822"/>
      <c r="Y655" s="823"/>
      <c r="Z655" s="823"/>
      <c r="AA655" s="823"/>
    </row>
    <row r="656" spans="1:27" ht="15.75" thickBot="1" x14ac:dyDescent="0.3">
      <c r="A656" s="1037">
        <v>647</v>
      </c>
      <c r="B656" s="1037" t="s">
        <v>57</v>
      </c>
      <c r="C656" s="802" t="s">
        <v>162</v>
      </c>
      <c r="D656" s="1103" t="s">
        <v>904</v>
      </c>
      <c r="E656" s="1104"/>
      <c r="F656" s="1104"/>
      <c r="G656" s="1105"/>
      <c r="H656" s="1105"/>
      <c r="I656" s="824"/>
      <c r="J656" s="824"/>
      <c r="K656" s="825"/>
      <c r="L656" s="809" t="str">
        <f>C656</f>
        <v>Tra 02</v>
      </c>
      <c r="M656" s="821"/>
      <c r="N656" s="801"/>
      <c r="O656" s="822"/>
      <c r="P656" s="822"/>
      <c r="Q656" s="822"/>
      <c r="R656" s="822"/>
      <c r="S656" s="822"/>
      <c r="T656" s="822"/>
      <c r="U656" s="822"/>
      <c r="V656" s="822"/>
      <c r="W656" s="822"/>
      <c r="X656" s="822"/>
      <c r="Y656" s="823"/>
      <c r="Z656" s="823"/>
      <c r="AA656" s="823"/>
    </row>
    <row r="657" spans="1:27" x14ac:dyDescent="0.25">
      <c r="A657" s="1035">
        <v>648</v>
      </c>
      <c r="B657" s="1035" t="s">
        <v>57</v>
      </c>
      <c r="C657" s="1036" t="s">
        <v>162</v>
      </c>
      <c r="D657" s="1107" t="s">
        <v>17</v>
      </c>
      <c r="E657" s="1108">
        <f>Tra02_credits</f>
        <v>1</v>
      </c>
      <c r="F657" s="1109"/>
      <c r="G657" s="1110" t="s">
        <v>85</v>
      </c>
      <c r="H657" s="1111">
        <f>Tra02_06</f>
        <v>1.1111111111111112E-2</v>
      </c>
      <c r="I657" s="824"/>
      <c r="J657" s="824"/>
      <c r="K657" s="825"/>
      <c r="L657" s="841" t="s">
        <v>414</v>
      </c>
      <c r="M657" s="821"/>
      <c r="N657" s="801"/>
      <c r="O657" s="822"/>
      <c r="P657" s="822"/>
      <c r="Q657" s="822"/>
      <c r="R657" s="822"/>
      <c r="S657" s="822"/>
      <c r="T657" s="822"/>
      <c r="U657" s="822"/>
      <c r="V657" s="822"/>
      <c r="W657" s="822"/>
      <c r="X657" s="822"/>
      <c r="Y657" s="823"/>
      <c r="Z657" s="823"/>
      <c r="AA657" s="823"/>
    </row>
    <row r="658" spans="1:27" x14ac:dyDescent="0.25">
      <c r="A658" s="1035">
        <v>649</v>
      </c>
      <c r="B658" s="1035" t="s">
        <v>57</v>
      </c>
      <c r="C658" s="1036" t="s">
        <v>162</v>
      </c>
      <c r="D658" s="1112" t="s">
        <v>349</v>
      </c>
      <c r="E658" s="1113">
        <v>0</v>
      </c>
      <c r="F658" s="1114"/>
      <c r="G658" s="1115" t="s">
        <v>350</v>
      </c>
      <c r="H658" s="1116" t="s">
        <v>15</v>
      </c>
      <c r="I658" s="824"/>
      <c r="J658" s="824"/>
      <c r="K658" s="825"/>
      <c r="L658" s="846" t="s">
        <v>15</v>
      </c>
      <c r="M658" s="821"/>
      <c r="N658" s="801"/>
      <c r="O658" s="822"/>
      <c r="P658" s="822"/>
      <c r="Q658" s="822"/>
      <c r="R658" s="822"/>
      <c r="S658" s="822"/>
      <c r="T658" s="822"/>
      <c r="U658" s="822"/>
      <c r="V658" s="822"/>
      <c r="W658" s="822"/>
      <c r="X658" s="822"/>
      <c r="Y658" s="823"/>
      <c r="Z658" s="823"/>
      <c r="AA658" s="823"/>
    </row>
    <row r="659" spans="1:27" x14ac:dyDescent="0.25">
      <c r="A659" s="1035">
        <v>650</v>
      </c>
      <c r="B659" s="1035" t="s">
        <v>57</v>
      </c>
      <c r="C659" s="1036" t="s">
        <v>162</v>
      </c>
      <c r="I659" s="824"/>
      <c r="J659" s="824"/>
      <c r="K659" s="825"/>
      <c r="L659" s="846" t="str">
        <f>IF(E657=1,"Yes","Yes - 1 c")</f>
        <v>Yes</v>
      </c>
      <c r="M659" s="821"/>
      <c r="N659" s="801"/>
      <c r="O659" s="822"/>
      <c r="P659" s="822"/>
      <c r="Q659" s="822"/>
      <c r="R659" s="822"/>
      <c r="S659" s="822"/>
      <c r="T659" s="822"/>
      <c r="U659" s="822"/>
      <c r="V659" s="822"/>
      <c r="W659" s="822"/>
      <c r="X659" s="822"/>
      <c r="Y659" s="823"/>
      <c r="Z659" s="823"/>
      <c r="AA659" s="823"/>
    </row>
    <row r="660" spans="1:27" ht="15.75" thickBot="1" x14ac:dyDescent="0.3">
      <c r="A660" s="1035">
        <v>651</v>
      </c>
      <c r="B660" s="1035" t="s">
        <v>57</v>
      </c>
      <c r="C660" s="1036" t="s">
        <v>162</v>
      </c>
      <c r="D660" s="1117" t="s">
        <v>351</v>
      </c>
      <c r="E660" s="1118" t="s">
        <v>352</v>
      </c>
      <c r="F660" s="1118" t="s">
        <v>353</v>
      </c>
      <c r="G660" s="1118" t="s">
        <v>354</v>
      </c>
      <c r="H660" s="1118" t="s">
        <v>355</v>
      </c>
      <c r="I660" s="824"/>
      <c r="J660" s="824"/>
      <c r="K660" s="825"/>
      <c r="L660" s="842" t="str">
        <f>IF(E657=2,"Yes - 2 c","")</f>
        <v/>
      </c>
      <c r="M660" s="821"/>
      <c r="N660" s="801"/>
      <c r="O660" s="822"/>
      <c r="P660" s="822"/>
      <c r="Q660" s="822"/>
      <c r="R660" s="822"/>
      <c r="S660" s="822"/>
      <c r="T660" s="822"/>
      <c r="U660" s="822"/>
      <c r="V660" s="822"/>
      <c r="W660" s="822"/>
      <c r="X660" s="822"/>
      <c r="Y660" s="823"/>
      <c r="Z660" s="823"/>
      <c r="AA660" s="823"/>
    </row>
    <row r="661" spans="1:27" ht="15.75" thickBot="1" x14ac:dyDescent="0.3">
      <c r="A661" s="1035">
        <v>652</v>
      </c>
      <c r="B661" s="1035" t="s">
        <v>57</v>
      </c>
      <c r="C661" s="1036" t="s">
        <v>162</v>
      </c>
      <c r="D661" s="1142" t="s">
        <v>411</v>
      </c>
      <c r="E661" s="1098" t="s">
        <v>414</v>
      </c>
      <c r="F661" s="1143">
        <f>E657</f>
        <v>1</v>
      </c>
      <c r="G661" s="1143">
        <f>IFERROR(VLOOKUP(E661,L662:M667,2,FALSE),0)</f>
        <v>0</v>
      </c>
      <c r="H661" s="1327" t="s">
        <v>16</v>
      </c>
      <c r="I661" s="890"/>
      <c r="J661" s="824"/>
      <c r="K661" s="825"/>
      <c r="L661" s="840"/>
      <c r="M661" s="821"/>
      <c r="N661" s="801"/>
      <c r="O661" s="102" t="s">
        <v>1273</v>
      </c>
      <c r="P661" s="822"/>
      <c r="Q661" s="822"/>
      <c r="R661" s="822"/>
      <c r="S661" s="822"/>
      <c r="T661" s="822"/>
      <c r="U661" s="822" t="str">
        <f>$T$4</f>
        <v>No</v>
      </c>
      <c r="V661" s="822"/>
      <c r="W661" s="822"/>
      <c r="X661" s="822"/>
      <c r="Y661" s="823"/>
      <c r="Z661" s="823"/>
      <c r="AA661" s="823"/>
    </row>
    <row r="662" spans="1:27" x14ac:dyDescent="0.25">
      <c r="A662" s="1035">
        <v>653</v>
      </c>
      <c r="B662" s="1035" t="s">
        <v>57</v>
      </c>
      <c r="C662" s="1036" t="s">
        <v>162</v>
      </c>
      <c r="E662" s="1144"/>
      <c r="I662" s="824"/>
      <c r="J662" s="824"/>
      <c r="K662" s="825"/>
      <c r="L662" s="828" t="s">
        <v>414</v>
      </c>
      <c r="M662" s="829">
        <v>0</v>
      </c>
      <c r="N662" s="830"/>
      <c r="O662" s="822"/>
      <c r="P662" s="822"/>
      <c r="Q662" s="822"/>
      <c r="R662" s="822"/>
      <c r="S662" s="822"/>
      <c r="T662" s="822"/>
      <c r="U662" s="822"/>
      <c r="V662" s="822"/>
      <c r="W662" s="822"/>
      <c r="X662" s="822"/>
      <c r="Y662" s="823"/>
      <c r="Z662" s="823"/>
      <c r="AA662" s="823"/>
    </row>
    <row r="663" spans="1:27" x14ac:dyDescent="0.25">
      <c r="A663" s="1035">
        <v>654</v>
      </c>
      <c r="B663" s="1035" t="s">
        <v>57</v>
      </c>
      <c r="C663" s="1036" t="s">
        <v>162</v>
      </c>
      <c r="D663" s="1127" t="s">
        <v>356</v>
      </c>
      <c r="E663" s="1128">
        <f>IF(E661=AIS_No,0,IF(G661&gt;F661,F661,G661))</f>
        <v>0</v>
      </c>
      <c r="I663" s="1029"/>
      <c r="J663" s="824"/>
      <c r="K663" s="825"/>
      <c r="L663" s="831" t="s">
        <v>15</v>
      </c>
      <c r="M663" s="832">
        <v>0</v>
      </c>
      <c r="N663" s="830"/>
      <c r="O663" s="822"/>
      <c r="P663" s="822"/>
      <c r="Q663" s="822"/>
      <c r="R663" s="822"/>
      <c r="S663" s="822"/>
      <c r="T663" s="822"/>
      <c r="U663" s="822"/>
      <c r="V663" s="822"/>
      <c r="W663" s="822"/>
      <c r="X663" s="822"/>
      <c r="Y663" s="823"/>
      <c r="Z663" s="823"/>
      <c r="AA663" s="823"/>
    </row>
    <row r="664" spans="1:27" x14ac:dyDescent="0.25">
      <c r="A664" s="1035">
        <v>655</v>
      </c>
      <c r="B664" s="1035" t="s">
        <v>57</v>
      </c>
      <c r="C664" s="1036" t="s">
        <v>162</v>
      </c>
      <c r="D664" s="1129" t="s">
        <v>86</v>
      </c>
      <c r="E664" s="1130">
        <f>Tra02_07</f>
        <v>0</v>
      </c>
      <c r="I664" s="824"/>
      <c r="J664" s="824"/>
      <c r="K664" s="825"/>
      <c r="L664" s="831" t="s">
        <v>14</v>
      </c>
      <c r="M664" s="832">
        <v>1</v>
      </c>
      <c r="N664" s="830"/>
      <c r="O664" s="822"/>
      <c r="P664" s="822"/>
      <c r="Q664" s="822"/>
      <c r="R664" s="822"/>
      <c r="S664" s="822"/>
      <c r="T664" s="822"/>
      <c r="U664" s="822"/>
      <c r="V664" s="822"/>
      <c r="W664" s="822"/>
      <c r="X664" s="822"/>
      <c r="Y664" s="823"/>
      <c r="Z664" s="823"/>
      <c r="AA664" s="823"/>
    </row>
    <row r="665" spans="1:27" x14ac:dyDescent="0.25">
      <c r="A665" s="1035">
        <v>656</v>
      </c>
      <c r="B665" s="1035" t="s">
        <v>57</v>
      </c>
      <c r="C665" s="1036" t="s">
        <v>162</v>
      </c>
      <c r="D665" s="1131" t="s">
        <v>357</v>
      </c>
      <c r="E665" s="1128" t="s">
        <v>16</v>
      </c>
      <c r="I665" s="824"/>
      <c r="J665" s="824"/>
      <c r="K665" s="825"/>
      <c r="L665" s="831" t="s">
        <v>1136</v>
      </c>
      <c r="M665" s="832">
        <v>1</v>
      </c>
      <c r="N665" s="830"/>
      <c r="O665" s="822"/>
      <c r="P665" s="822"/>
      <c r="Q665" s="822"/>
      <c r="R665" s="822"/>
      <c r="S665" s="822"/>
      <c r="T665" s="822"/>
      <c r="U665" s="822"/>
      <c r="V665" s="822"/>
      <c r="W665" s="822"/>
      <c r="X665" s="822"/>
      <c r="Y665" s="823"/>
      <c r="Z665" s="823"/>
      <c r="AA665" s="823"/>
    </row>
    <row r="666" spans="1:27" x14ac:dyDescent="0.25">
      <c r="A666" s="1035">
        <v>657</v>
      </c>
      <c r="B666" s="1035" t="s">
        <v>57</v>
      </c>
      <c r="C666" s="1036" t="s">
        <v>162</v>
      </c>
      <c r="D666" s="1132" t="s">
        <v>55</v>
      </c>
      <c r="E666" s="1133" t="s">
        <v>16</v>
      </c>
      <c r="F666" s="1134"/>
      <c r="G666" s="1135"/>
      <c r="I666" s="824"/>
      <c r="J666" s="824"/>
      <c r="K666" s="825"/>
      <c r="L666" s="831" t="s">
        <v>1137</v>
      </c>
      <c r="M666" s="832">
        <v>2</v>
      </c>
      <c r="N666" s="830"/>
      <c r="O666" s="822"/>
      <c r="P666" s="822"/>
      <c r="Q666" s="822"/>
      <c r="R666" s="822"/>
      <c r="S666" s="822"/>
      <c r="T666" s="822"/>
      <c r="U666" s="822"/>
      <c r="V666" s="822"/>
      <c r="W666" s="822"/>
      <c r="X666" s="822"/>
      <c r="Y666" s="823"/>
      <c r="Z666" s="823"/>
      <c r="AA666" s="823"/>
    </row>
    <row r="667" spans="1:27" ht="15.75" thickBot="1" x14ac:dyDescent="0.3">
      <c r="A667" s="1035">
        <v>658</v>
      </c>
      <c r="B667" s="1035" t="s">
        <v>57</v>
      </c>
      <c r="C667" s="1036" t="s">
        <v>162</v>
      </c>
      <c r="I667" s="824"/>
      <c r="J667" s="824"/>
      <c r="K667" s="825"/>
      <c r="L667" s="835"/>
      <c r="M667" s="836">
        <v>0</v>
      </c>
      <c r="N667" s="830"/>
      <c r="O667" s="822"/>
      <c r="P667" s="822"/>
      <c r="Q667" s="822"/>
      <c r="R667" s="822"/>
      <c r="S667" s="822"/>
      <c r="T667" s="822"/>
      <c r="U667" s="822"/>
      <c r="V667" s="822"/>
      <c r="W667" s="822"/>
      <c r="X667" s="822"/>
      <c r="Y667" s="823"/>
      <c r="Z667" s="823"/>
      <c r="AA667" s="823"/>
    </row>
    <row r="668" spans="1:27" x14ac:dyDescent="0.25">
      <c r="A668" s="1035">
        <v>659</v>
      </c>
      <c r="B668" s="1035" t="s">
        <v>57</v>
      </c>
      <c r="C668" s="1036" t="s">
        <v>162</v>
      </c>
      <c r="D668" s="1136" t="s">
        <v>359</v>
      </c>
      <c r="E668" s="1136" t="s">
        <v>977</v>
      </c>
      <c r="F668" s="1136" t="str">
        <f>HLOOKUP(C668,'Assessment References'!$H$512:$BG$513,2,FALSE)</f>
        <v/>
      </c>
      <c r="G668" s="1137"/>
      <c r="H668" s="1138"/>
      <c r="I668" s="824"/>
      <c r="J668" s="824"/>
      <c r="K668" s="825"/>
      <c r="L668" s="889"/>
      <c r="M668" s="821"/>
      <c r="N668" s="801"/>
      <c r="O668" s="822"/>
      <c r="P668" s="822"/>
      <c r="Q668" s="822"/>
      <c r="R668" s="822"/>
      <c r="S668" s="822"/>
      <c r="T668" s="822"/>
      <c r="U668" s="822"/>
      <c r="V668" s="822"/>
      <c r="W668" s="822"/>
      <c r="X668" s="822"/>
      <c r="Y668" s="823"/>
      <c r="Z668" s="823"/>
      <c r="AA668" s="823"/>
    </row>
    <row r="669" spans="1:27" x14ac:dyDescent="0.25">
      <c r="A669" s="1035">
        <v>660</v>
      </c>
      <c r="B669" s="1035" t="s">
        <v>57</v>
      </c>
      <c r="C669" s="1036" t="s">
        <v>162</v>
      </c>
      <c r="D669" s="1363"/>
      <c r="E669" s="1352"/>
      <c r="F669" s="1352"/>
      <c r="G669" s="1352"/>
      <c r="H669" s="1353"/>
      <c r="I669" s="824"/>
      <c r="J669" s="824"/>
      <c r="K669" s="825"/>
      <c r="L669" s="820"/>
      <c r="M669" s="821"/>
      <c r="N669" s="801"/>
      <c r="O669" s="822"/>
      <c r="P669" s="822"/>
      <c r="Q669" s="822"/>
      <c r="R669" s="822"/>
      <c r="S669" s="822"/>
      <c r="T669" s="822"/>
      <c r="U669" s="822"/>
      <c r="V669" s="822"/>
      <c r="W669" s="822"/>
      <c r="X669" s="822"/>
      <c r="Y669" s="823"/>
      <c r="Z669" s="823"/>
      <c r="AA669" s="823"/>
    </row>
    <row r="670" spans="1:27" x14ac:dyDescent="0.25">
      <c r="A670" s="1035">
        <v>661</v>
      </c>
      <c r="B670" s="1035" t="s">
        <v>57</v>
      </c>
      <c r="C670" s="1036" t="s">
        <v>162</v>
      </c>
      <c r="D670" s="1354"/>
      <c r="E670" s="1355"/>
      <c r="F670" s="1355"/>
      <c r="G670" s="1355"/>
      <c r="H670" s="1356"/>
      <c r="I670" s="824"/>
      <c r="J670" s="824"/>
      <c r="K670" s="825"/>
      <c r="L670" s="820"/>
      <c r="M670" s="821"/>
      <c r="N670" s="801"/>
      <c r="O670" s="822"/>
      <c r="P670" s="822"/>
      <c r="Q670" s="822"/>
      <c r="R670" s="822"/>
      <c r="S670" s="822"/>
      <c r="T670" s="822"/>
      <c r="U670" s="822"/>
      <c r="V670" s="822"/>
      <c r="W670" s="822"/>
      <c r="X670" s="822"/>
      <c r="Y670" s="823"/>
      <c r="Z670" s="823"/>
      <c r="AA670" s="823"/>
    </row>
    <row r="671" spans="1:27" x14ac:dyDescent="0.25">
      <c r="A671" s="1035">
        <v>662</v>
      </c>
      <c r="B671" s="1035" t="s">
        <v>57</v>
      </c>
      <c r="C671" s="1036" t="s">
        <v>162</v>
      </c>
      <c r="D671" s="1354"/>
      <c r="E671" s="1355"/>
      <c r="F671" s="1355"/>
      <c r="G671" s="1355"/>
      <c r="H671" s="1356"/>
      <c r="I671" s="824"/>
      <c r="J671" s="824"/>
      <c r="K671" s="825"/>
      <c r="L671" s="820"/>
      <c r="M671" s="821"/>
      <c r="N671" s="801"/>
      <c r="O671" s="822"/>
      <c r="P671" s="822"/>
      <c r="Q671" s="822"/>
      <c r="R671" s="822"/>
      <c r="S671" s="822"/>
      <c r="T671" s="822"/>
      <c r="U671" s="822"/>
      <c r="V671" s="822"/>
      <c r="W671" s="822"/>
      <c r="X671" s="822"/>
      <c r="Y671" s="823"/>
      <c r="Z671" s="823"/>
      <c r="AA671" s="823"/>
    </row>
    <row r="672" spans="1:27" x14ac:dyDescent="0.25">
      <c r="A672" s="1035">
        <v>663</v>
      </c>
      <c r="B672" s="1035" t="s">
        <v>57</v>
      </c>
      <c r="C672" s="1036" t="s">
        <v>162</v>
      </c>
      <c r="D672" s="1364"/>
      <c r="E672" s="1358"/>
      <c r="F672" s="1358"/>
      <c r="G672" s="1358"/>
      <c r="H672" s="1359"/>
      <c r="I672" s="824"/>
      <c r="J672" s="824"/>
      <c r="K672" s="825"/>
      <c r="L672" s="820"/>
      <c r="M672" s="821"/>
      <c r="N672" s="801"/>
      <c r="O672" s="822"/>
      <c r="P672" s="822"/>
      <c r="Q672" s="822"/>
      <c r="R672" s="822"/>
      <c r="S672" s="822"/>
      <c r="T672" s="822"/>
      <c r="U672" s="822"/>
      <c r="V672" s="822"/>
      <c r="W672" s="822"/>
      <c r="X672" s="822"/>
      <c r="Y672" s="823"/>
      <c r="Z672" s="823"/>
      <c r="AA672" s="823"/>
    </row>
    <row r="673" spans="1:27" x14ac:dyDescent="0.25">
      <c r="A673" s="1035">
        <v>664</v>
      </c>
      <c r="B673" s="1035" t="s">
        <v>57</v>
      </c>
      <c r="C673" s="1036" t="s">
        <v>162</v>
      </c>
      <c r="D673" s="1364"/>
      <c r="E673" s="1358"/>
      <c r="F673" s="1358"/>
      <c r="G673" s="1358"/>
      <c r="H673" s="1359"/>
      <c r="I673" s="824"/>
      <c r="J673" s="824"/>
      <c r="K673" s="825"/>
      <c r="L673" s="820"/>
      <c r="M673" s="821"/>
      <c r="N673" s="801"/>
      <c r="O673" s="822"/>
      <c r="P673" s="822"/>
      <c r="Q673" s="822"/>
      <c r="R673" s="822"/>
      <c r="S673" s="822"/>
      <c r="T673" s="822"/>
      <c r="U673" s="822"/>
      <c r="V673" s="822"/>
      <c r="W673" s="822"/>
      <c r="X673" s="822"/>
      <c r="Y673" s="823"/>
      <c r="Z673" s="823"/>
      <c r="AA673" s="823"/>
    </row>
    <row r="674" spans="1:27" x14ac:dyDescent="0.25">
      <c r="A674" s="1035">
        <v>665</v>
      </c>
      <c r="B674" s="1035" t="s">
        <v>57</v>
      </c>
      <c r="C674" s="1036" t="s">
        <v>162</v>
      </c>
      <c r="D674" s="1360"/>
      <c r="E674" s="1361"/>
      <c r="F674" s="1361"/>
      <c r="G674" s="1361"/>
      <c r="H674" s="1362"/>
      <c r="I674" s="824"/>
      <c r="J674" s="824"/>
      <c r="K674" s="825"/>
      <c r="L674" s="820"/>
      <c r="M674" s="821"/>
      <c r="N674" s="801"/>
      <c r="O674" s="822"/>
      <c r="P674" s="822"/>
      <c r="Q674" s="822"/>
      <c r="R674" s="822"/>
      <c r="S674" s="822"/>
      <c r="T674" s="822"/>
      <c r="U674" s="822"/>
      <c r="V674" s="822"/>
      <c r="W674" s="822"/>
      <c r="X674" s="822"/>
      <c r="Y674" s="823"/>
      <c r="Z674" s="823"/>
      <c r="AA674" s="823"/>
    </row>
    <row r="675" spans="1:27" ht="15.75" thickBot="1" x14ac:dyDescent="0.3">
      <c r="A675" s="1035">
        <v>666</v>
      </c>
      <c r="B675" s="1035" t="s">
        <v>57</v>
      </c>
      <c r="C675" s="1036" t="s">
        <v>162</v>
      </c>
      <c r="D675" s="1156"/>
      <c r="E675" s="1156"/>
      <c r="F675" s="1156"/>
      <c r="G675" s="1156"/>
      <c r="H675" s="1156"/>
      <c r="I675" s="824"/>
      <c r="J675" s="824"/>
      <c r="K675" s="825"/>
      <c r="L675" s="820"/>
      <c r="M675" s="821"/>
      <c r="N675" s="801"/>
      <c r="O675" s="822"/>
      <c r="P675" s="822"/>
      <c r="Q675" s="822"/>
      <c r="R675" s="822"/>
      <c r="S675" s="822"/>
      <c r="T675" s="822"/>
      <c r="U675" s="822"/>
      <c r="V675" s="822"/>
      <c r="W675" s="822"/>
      <c r="X675" s="822"/>
      <c r="Y675" s="823"/>
      <c r="Z675" s="823"/>
      <c r="AA675" s="823"/>
    </row>
    <row r="676" spans="1:27" ht="15.75" thickBot="1" x14ac:dyDescent="0.3">
      <c r="A676" s="1037">
        <v>667</v>
      </c>
      <c r="B676" s="1037" t="s">
        <v>57</v>
      </c>
      <c r="C676" s="802" t="s">
        <v>163</v>
      </c>
      <c r="D676" s="1103" t="s">
        <v>905</v>
      </c>
      <c r="E676" s="1104"/>
      <c r="F676" s="1104"/>
      <c r="G676" s="1105"/>
      <c r="H676" s="1105"/>
      <c r="I676" s="824"/>
      <c r="J676" s="824"/>
      <c r="K676" s="825"/>
      <c r="L676" s="809" t="str">
        <f>C676</f>
        <v>Tra 03</v>
      </c>
      <c r="M676" s="821"/>
      <c r="N676" s="801"/>
      <c r="O676" s="822"/>
      <c r="P676" s="822"/>
      <c r="Q676" s="822"/>
      <c r="R676" s="822"/>
      <c r="S676" s="822"/>
      <c r="T676" s="822"/>
      <c r="U676" s="822"/>
      <c r="V676" s="822"/>
      <c r="W676" s="822"/>
      <c r="X676" s="822"/>
      <c r="Y676" s="823"/>
      <c r="Z676" s="823"/>
      <c r="AA676" s="823"/>
    </row>
    <row r="677" spans="1:27" x14ac:dyDescent="0.25">
      <c r="A677" s="1035">
        <v>668</v>
      </c>
      <c r="B677" s="1035" t="s">
        <v>57</v>
      </c>
      <c r="C677" s="1036" t="s">
        <v>163</v>
      </c>
      <c r="D677" s="1107" t="s">
        <v>17</v>
      </c>
      <c r="E677" s="1108">
        <f>Tra03_credits</f>
        <v>2</v>
      </c>
      <c r="F677" s="1109"/>
      <c r="G677" s="1110" t="s">
        <v>85</v>
      </c>
      <c r="H677" s="1111">
        <f>Tra03_13</f>
        <v>2.2222222222222223E-2</v>
      </c>
      <c r="I677" s="824"/>
      <c r="J677" s="824"/>
      <c r="K677" s="825"/>
      <c r="L677" s="891" t="s">
        <v>414</v>
      </c>
      <c r="M677" s="821"/>
      <c r="N677" s="801"/>
      <c r="O677" s="822"/>
      <c r="P677" s="822"/>
      <c r="Q677" s="822"/>
      <c r="R677" s="822"/>
      <c r="S677" s="822"/>
      <c r="T677" s="822"/>
      <c r="U677" s="822"/>
      <c r="V677" s="822"/>
      <c r="W677" s="822"/>
      <c r="X677" s="822"/>
      <c r="Y677" s="823"/>
      <c r="Z677" s="823"/>
      <c r="AA677" s="823"/>
    </row>
    <row r="678" spans="1:27" x14ac:dyDescent="0.25">
      <c r="A678" s="1035">
        <v>669</v>
      </c>
      <c r="B678" s="1035" t="s">
        <v>57</v>
      </c>
      <c r="C678" s="1036" t="s">
        <v>163</v>
      </c>
      <c r="D678" s="1112" t="s">
        <v>349</v>
      </c>
      <c r="E678" s="1113">
        <f>Inn03_credits</f>
        <v>1</v>
      </c>
      <c r="F678" s="1114"/>
      <c r="G678" s="1115" t="s">
        <v>350</v>
      </c>
      <c r="H678" s="1116" t="s">
        <v>15</v>
      </c>
      <c r="I678" s="824"/>
      <c r="J678" s="824"/>
      <c r="K678" s="825"/>
      <c r="L678" s="892" t="s">
        <v>538</v>
      </c>
      <c r="M678" s="821"/>
      <c r="N678" s="801"/>
      <c r="O678" s="822"/>
      <c r="P678" s="822"/>
      <c r="Q678" s="822"/>
      <c r="R678" s="822"/>
      <c r="S678" s="822"/>
      <c r="T678" s="822"/>
      <c r="U678" s="822"/>
      <c r="V678" s="822"/>
      <c r="W678" s="822"/>
      <c r="X678" s="822"/>
      <c r="Y678" s="823"/>
      <c r="Z678" s="823"/>
      <c r="AA678" s="823"/>
    </row>
    <row r="679" spans="1:27" x14ac:dyDescent="0.25">
      <c r="A679" s="1035">
        <v>670</v>
      </c>
      <c r="B679" s="1035" t="s">
        <v>57</v>
      </c>
      <c r="C679" s="1036" t="s">
        <v>163</v>
      </c>
      <c r="I679" s="824"/>
      <c r="J679" s="824"/>
      <c r="K679" s="825"/>
      <c r="L679" s="892" t="s">
        <v>539</v>
      </c>
      <c r="M679" s="821"/>
      <c r="N679" s="801"/>
      <c r="O679" s="822"/>
      <c r="P679" s="822"/>
      <c r="Q679" s="822"/>
      <c r="R679" s="822"/>
      <c r="S679" s="822"/>
      <c r="T679" s="822"/>
      <c r="U679" s="822"/>
      <c r="V679" s="822"/>
      <c r="W679" s="822"/>
      <c r="X679" s="822"/>
      <c r="Y679" s="823"/>
      <c r="Z679" s="823"/>
      <c r="AA679" s="823"/>
    </row>
    <row r="680" spans="1:27" ht="15.75" thickBot="1" x14ac:dyDescent="0.3">
      <c r="A680" s="1035">
        <v>671</v>
      </c>
      <c r="B680" s="1035" t="s">
        <v>57</v>
      </c>
      <c r="C680" s="1036" t="s">
        <v>163</v>
      </c>
      <c r="D680" s="1117" t="s">
        <v>413</v>
      </c>
      <c r="E680" s="1118" t="s">
        <v>352</v>
      </c>
      <c r="F680" s="1118" t="s">
        <v>353</v>
      </c>
      <c r="G680" s="1118" t="s">
        <v>354</v>
      </c>
      <c r="H680" s="1118" t="s">
        <v>355</v>
      </c>
      <c r="I680" s="824"/>
      <c r="J680" s="824"/>
      <c r="K680" s="825"/>
      <c r="L680" s="892" t="s">
        <v>540</v>
      </c>
      <c r="M680" s="821"/>
      <c r="N680" s="801"/>
      <c r="O680" s="822"/>
      <c r="P680" s="822"/>
      <c r="Q680" s="822"/>
      <c r="R680" s="822"/>
      <c r="S680" s="822"/>
      <c r="T680" s="822"/>
      <c r="U680" s="822"/>
      <c r="V680" s="822"/>
      <c r="W680" s="822"/>
      <c r="X680" s="822"/>
      <c r="Y680" s="823"/>
      <c r="Z680" s="823"/>
      <c r="AA680" s="823"/>
    </row>
    <row r="681" spans="1:27" ht="15.75" thickBot="1" x14ac:dyDescent="0.3">
      <c r="A681" s="1035">
        <v>672</v>
      </c>
      <c r="B681" s="1035" t="s">
        <v>57</v>
      </c>
      <c r="C681" s="1036" t="s">
        <v>163</v>
      </c>
      <c r="D681" s="1119" t="s">
        <v>1039</v>
      </c>
      <c r="E681" s="1182" t="s">
        <v>414</v>
      </c>
      <c r="F681" s="1120">
        <f>E677</f>
        <v>2</v>
      </c>
      <c r="G681" s="1120">
        <f>IF(OR(E681=L678,E681=L679,E681=L680,E681=L681,E681=L683),2,IF(E681=L682,1,0))</f>
        <v>0</v>
      </c>
      <c r="H681" s="1327" t="s">
        <v>16</v>
      </c>
      <c r="I681" s="824"/>
      <c r="J681" s="824"/>
      <c r="K681" s="825"/>
      <c r="L681" s="892" t="s">
        <v>541</v>
      </c>
      <c r="M681" s="821"/>
      <c r="N681" s="801"/>
      <c r="O681" s="102" t="s">
        <v>1273</v>
      </c>
      <c r="P681" s="822"/>
      <c r="Q681" s="822"/>
      <c r="R681" s="822"/>
      <c r="S681" s="822"/>
      <c r="T681" s="822"/>
      <c r="U681" s="822" t="str">
        <f>$T$4</f>
        <v>No</v>
      </c>
      <c r="V681" s="822"/>
      <c r="W681" s="822"/>
      <c r="X681" s="822"/>
      <c r="Y681" s="823"/>
      <c r="Z681" s="823"/>
      <c r="AA681" s="823"/>
    </row>
    <row r="682" spans="1:27" ht="15.75" thickBot="1" x14ac:dyDescent="0.3">
      <c r="A682" s="1035">
        <v>673</v>
      </c>
      <c r="B682" s="1035" t="s">
        <v>57</v>
      </c>
      <c r="C682" s="1036" t="s">
        <v>163</v>
      </c>
      <c r="D682" s="1123" t="s">
        <v>1040</v>
      </c>
      <c r="E682" s="1092" t="s">
        <v>414</v>
      </c>
      <c r="F682" s="1140">
        <f>E678</f>
        <v>1</v>
      </c>
      <c r="G682" s="1124">
        <f>IF(AND(E681&lt;&gt;L677,E682&lt;&gt;L677),IF(OR(E681=L683,E682=L683),E678,0),0)</f>
        <v>0</v>
      </c>
      <c r="I682" s="824"/>
      <c r="J682" s="824"/>
      <c r="K682" s="825"/>
      <c r="L682" s="892" t="s">
        <v>1038</v>
      </c>
      <c r="M682" s="821"/>
      <c r="N682" s="801"/>
      <c r="O682" s="102" t="s">
        <v>1273</v>
      </c>
      <c r="P682" s="822"/>
      <c r="Q682" s="822"/>
      <c r="R682" s="822"/>
      <c r="S682" s="822"/>
      <c r="T682" s="822"/>
      <c r="U682" s="822" t="str">
        <f>$T$4</f>
        <v>No</v>
      </c>
      <c r="V682" s="822"/>
      <c r="W682" s="822"/>
      <c r="X682" s="822"/>
      <c r="Y682" s="823"/>
      <c r="Z682" s="823"/>
      <c r="AA682" s="823"/>
    </row>
    <row r="683" spans="1:27" ht="15.75" thickBot="1" x14ac:dyDescent="0.3">
      <c r="A683" s="1035">
        <v>674</v>
      </c>
      <c r="B683" s="1035" t="s">
        <v>57</v>
      </c>
      <c r="C683" s="1036" t="s">
        <v>163</v>
      </c>
      <c r="I683" s="824"/>
      <c r="J683" s="824"/>
      <c r="K683" s="783"/>
      <c r="L683" s="893" t="s">
        <v>1037</v>
      </c>
      <c r="M683" s="821"/>
      <c r="N683" s="801"/>
      <c r="O683" s="822"/>
      <c r="P683" s="822"/>
      <c r="Q683" s="822"/>
      <c r="R683" s="822"/>
      <c r="S683" s="822"/>
      <c r="T683" s="822"/>
      <c r="U683" s="822"/>
      <c r="V683" s="822"/>
      <c r="W683" s="822"/>
      <c r="X683" s="822"/>
      <c r="Y683" s="823"/>
      <c r="Z683" s="823"/>
      <c r="AA683" s="823"/>
    </row>
    <row r="684" spans="1:27" ht="15.75" thickBot="1" x14ac:dyDescent="0.3">
      <c r="A684" s="1035">
        <v>675</v>
      </c>
      <c r="B684" s="1035" t="s">
        <v>57</v>
      </c>
      <c r="C684" s="1036" t="s">
        <v>163</v>
      </c>
      <c r="D684" s="1117" t="s">
        <v>415</v>
      </c>
      <c r="E684" s="1118" t="s">
        <v>352</v>
      </c>
      <c r="F684" s="1118" t="s">
        <v>353</v>
      </c>
      <c r="G684" s="1118" t="s">
        <v>354</v>
      </c>
      <c r="I684" s="824"/>
      <c r="J684" s="824"/>
      <c r="K684" s="783"/>
      <c r="L684" s="894"/>
      <c r="M684" s="821"/>
      <c r="N684" s="801"/>
      <c r="O684" s="822"/>
      <c r="P684" s="822"/>
      <c r="Q684" s="822"/>
      <c r="R684" s="822"/>
      <c r="S684" s="822"/>
      <c r="T684" s="822"/>
      <c r="U684" s="822"/>
      <c r="V684" s="822"/>
      <c r="W684" s="822"/>
      <c r="X684" s="822"/>
      <c r="Y684" s="823"/>
      <c r="Z684" s="823"/>
      <c r="AA684" s="823"/>
    </row>
    <row r="685" spans="1:27" ht="15.75" thickBot="1" x14ac:dyDescent="0.3">
      <c r="A685" s="1035">
        <v>676</v>
      </c>
      <c r="B685" s="1035" t="s">
        <v>57</v>
      </c>
      <c r="C685" s="1036" t="s">
        <v>163</v>
      </c>
      <c r="D685" s="1119" t="s">
        <v>1039</v>
      </c>
      <c r="E685" s="1182" t="s">
        <v>414</v>
      </c>
      <c r="F685" s="1120">
        <f>E677</f>
        <v>2</v>
      </c>
      <c r="G685" s="1120">
        <f>IF(OR(E685=L687,E685=L688,E685=L690,E685=L691,E685=L693),2,IF(OR(E685=L689,E685=L692),1,0))</f>
        <v>0</v>
      </c>
      <c r="H685" s="1327" t="s">
        <v>16</v>
      </c>
      <c r="I685" s="824"/>
      <c r="J685" s="824"/>
      <c r="K685" s="783"/>
      <c r="L685" s="820"/>
      <c r="M685" s="821"/>
      <c r="N685" s="801"/>
      <c r="O685" s="102" t="s">
        <v>1273</v>
      </c>
      <c r="P685" s="822"/>
      <c r="Q685" s="822"/>
      <c r="R685" s="822"/>
      <c r="S685" s="822"/>
      <c r="T685" s="822"/>
      <c r="U685" s="822" t="str">
        <f>$T$4</f>
        <v>No</v>
      </c>
      <c r="V685" s="822"/>
      <c r="W685" s="822"/>
      <c r="X685" s="822"/>
      <c r="Y685" s="823"/>
      <c r="Z685" s="823"/>
      <c r="AA685" s="823"/>
    </row>
    <row r="686" spans="1:27" ht="15.75" thickBot="1" x14ac:dyDescent="0.3">
      <c r="A686" s="1035">
        <v>677</v>
      </c>
      <c r="B686" s="1035" t="s">
        <v>57</v>
      </c>
      <c r="C686" s="1036" t="s">
        <v>163</v>
      </c>
      <c r="D686" s="1123" t="s">
        <v>1040</v>
      </c>
      <c r="E686" s="1092" t="s">
        <v>414</v>
      </c>
      <c r="F686" s="1140">
        <f>E678</f>
        <v>1</v>
      </c>
      <c r="G686" s="1124">
        <f>IF(AND(E685&lt;&gt;L677,E686&lt;&gt;L677),IF(OR(E685=L692,E685=L693,E686=L682),E678,0),0)</f>
        <v>0</v>
      </c>
      <c r="I686" s="824"/>
      <c r="J686" s="824"/>
      <c r="K686" s="825"/>
      <c r="L686" s="841" t="s">
        <v>414</v>
      </c>
      <c r="M686" s="821"/>
      <c r="N686" s="801"/>
      <c r="O686" s="102" t="s">
        <v>1273</v>
      </c>
      <c r="P686" s="822"/>
      <c r="Q686" s="822"/>
      <c r="R686" s="822"/>
      <c r="S686" s="822"/>
      <c r="T686" s="822"/>
      <c r="U686" s="822" t="str">
        <f>$T$4</f>
        <v>No</v>
      </c>
      <c r="V686" s="822"/>
      <c r="W686" s="822"/>
      <c r="X686" s="822"/>
      <c r="Y686" s="823"/>
      <c r="Z686" s="823"/>
      <c r="AA686" s="823"/>
    </row>
    <row r="687" spans="1:27" x14ac:dyDescent="0.25">
      <c r="A687" s="1035">
        <v>678</v>
      </c>
      <c r="B687" s="1035" t="s">
        <v>57</v>
      </c>
      <c r="C687" s="1036" t="s">
        <v>163</v>
      </c>
      <c r="I687" s="824"/>
      <c r="J687" s="824"/>
      <c r="K687" s="825"/>
      <c r="L687" s="846" t="s">
        <v>538</v>
      </c>
      <c r="M687" s="821"/>
      <c r="N687" s="801"/>
      <c r="O687" s="822"/>
      <c r="P687" s="822"/>
      <c r="Q687" s="822"/>
      <c r="R687" s="822"/>
      <c r="S687" s="822"/>
      <c r="T687" s="822"/>
      <c r="U687" s="822"/>
      <c r="V687" s="822"/>
      <c r="W687" s="822"/>
      <c r="X687" s="822"/>
      <c r="Y687" s="823"/>
      <c r="Z687" s="823"/>
      <c r="AA687" s="823"/>
    </row>
    <row r="688" spans="1:27" x14ac:dyDescent="0.25">
      <c r="A688" s="1035">
        <v>679</v>
      </c>
      <c r="B688" s="1035" t="s">
        <v>57</v>
      </c>
      <c r="C688" s="1036" t="s">
        <v>163</v>
      </c>
      <c r="D688" s="1127" t="s">
        <v>356</v>
      </c>
      <c r="E688" s="1128">
        <f>IF(L699=AIS_Yes,(IF(L700=N700,G681,G685)),IF(L695=L696,G685,G681))</f>
        <v>0</v>
      </c>
      <c r="I688" s="1029"/>
      <c r="J688" s="824"/>
      <c r="K688" s="825"/>
      <c r="L688" s="892" t="s">
        <v>539</v>
      </c>
      <c r="M688" s="821"/>
      <c r="N688" s="801"/>
      <c r="O688" s="822"/>
      <c r="P688" s="822"/>
      <c r="Q688" s="822"/>
      <c r="R688" s="822"/>
      <c r="S688" s="822"/>
      <c r="T688" s="822"/>
      <c r="U688" s="822"/>
      <c r="V688" s="822"/>
      <c r="W688" s="822"/>
      <c r="X688" s="822"/>
      <c r="Y688" s="823"/>
      <c r="Z688" s="823"/>
      <c r="AA688" s="823"/>
    </row>
    <row r="689" spans="1:27" x14ac:dyDescent="0.25">
      <c r="A689" s="1035">
        <v>680</v>
      </c>
      <c r="B689" s="1035" t="s">
        <v>57</v>
      </c>
      <c r="C689" s="1036" t="s">
        <v>163</v>
      </c>
      <c r="D689" s="1129" t="s">
        <v>86</v>
      </c>
      <c r="E689" s="1130">
        <f>Tra03_14</f>
        <v>0</v>
      </c>
      <c r="I689" s="824"/>
      <c r="J689" s="824"/>
      <c r="K689" s="825"/>
      <c r="L689" s="846" t="s">
        <v>1138</v>
      </c>
      <c r="M689" s="821"/>
      <c r="N689" s="801"/>
      <c r="O689" s="822"/>
      <c r="P689" s="822"/>
      <c r="Q689" s="822"/>
      <c r="R689" s="822"/>
      <c r="S689" s="822"/>
      <c r="T689" s="822"/>
      <c r="U689" s="822"/>
      <c r="V689" s="822"/>
      <c r="W689" s="822"/>
      <c r="X689" s="822"/>
      <c r="Y689" s="823"/>
      <c r="Z689" s="823"/>
      <c r="AA689" s="823"/>
    </row>
    <row r="690" spans="1:27" x14ac:dyDescent="0.25">
      <c r="A690" s="1035">
        <v>681</v>
      </c>
      <c r="B690" s="1035" t="s">
        <v>57</v>
      </c>
      <c r="C690" s="1036" t="s">
        <v>163</v>
      </c>
      <c r="D690" s="1131" t="s">
        <v>357</v>
      </c>
      <c r="E690" s="1128">
        <f>IF(L699=AIS_Yes,(IF(L700=N700,G682,G686)),IF(L695=L696,G686,G682))</f>
        <v>0</v>
      </c>
      <c r="I690" s="824"/>
      <c r="J690" s="824"/>
      <c r="K690" s="825"/>
      <c r="L690" s="846" t="s">
        <v>1139</v>
      </c>
      <c r="M690" s="821"/>
      <c r="N690" s="801"/>
      <c r="O690" s="822"/>
      <c r="P690" s="822"/>
      <c r="Q690" s="822"/>
      <c r="R690" s="822"/>
      <c r="S690" s="822"/>
      <c r="T690" s="822"/>
      <c r="U690" s="822"/>
      <c r="V690" s="822"/>
      <c r="W690" s="822"/>
      <c r="X690" s="822"/>
      <c r="Y690" s="823"/>
      <c r="Z690" s="823"/>
      <c r="AA690" s="823"/>
    </row>
    <row r="691" spans="1:27" x14ac:dyDescent="0.25">
      <c r="A691" s="1035">
        <v>682</v>
      </c>
      <c r="B691" s="1035" t="s">
        <v>57</v>
      </c>
      <c r="C691" s="1036" t="s">
        <v>163</v>
      </c>
      <c r="D691" s="1132" t="s">
        <v>55</v>
      </c>
      <c r="E691" s="1133" t="s">
        <v>16</v>
      </c>
      <c r="F691" s="1134"/>
      <c r="G691" s="1135"/>
      <c r="I691" s="824"/>
      <c r="J691" s="824"/>
      <c r="K691" s="825"/>
      <c r="L691" s="892" t="s">
        <v>541</v>
      </c>
      <c r="M691" s="821"/>
      <c r="N691" s="801"/>
      <c r="O691" s="822"/>
      <c r="P691" s="822"/>
      <c r="Q691" s="822"/>
      <c r="R691" s="822"/>
      <c r="S691" s="822"/>
      <c r="T691" s="822"/>
      <c r="U691" s="822"/>
      <c r="V691" s="822"/>
      <c r="W691" s="822"/>
      <c r="X691" s="822"/>
      <c r="Y691" s="823"/>
      <c r="Z691" s="823"/>
      <c r="AA691" s="823"/>
    </row>
    <row r="692" spans="1:27" x14ac:dyDescent="0.25">
      <c r="A692" s="1035">
        <v>683</v>
      </c>
      <c r="B692" s="1035" t="s">
        <v>57</v>
      </c>
      <c r="C692" s="1036" t="s">
        <v>163</v>
      </c>
      <c r="I692" s="824"/>
      <c r="J692" s="824"/>
      <c r="K692" s="825"/>
      <c r="L692" s="846" t="s">
        <v>542</v>
      </c>
      <c r="M692" s="821"/>
      <c r="N692" s="801"/>
      <c r="O692" s="822"/>
      <c r="P692" s="822"/>
      <c r="Q692" s="822"/>
      <c r="R692" s="822"/>
      <c r="S692" s="822"/>
      <c r="T692" s="822"/>
      <c r="U692" s="822"/>
      <c r="V692" s="822"/>
      <c r="W692" s="822"/>
      <c r="X692" s="822"/>
      <c r="Y692" s="823"/>
      <c r="Z692" s="823"/>
      <c r="AA692" s="823"/>
    </row>
    <row r="693" spans="1:27" ht="15.75" thickBot="1" x14ac:dyDescent="0.3">
      <c r="A693" s="1035">
        <v>684</v>
      </c>
      <c r="B693" s="1035" t="s">
        <v>57</v>
      </c>
      <c r="C693" s="1036" t="s">
        <v>163</v>
      </c>
      <c r="D693" s="1136" t="s">
        <v>359</v>
      </c>
      <c r="E693" s="1136" t="s">
        <v>977</v>
      </c>
      <c r="F693" s="1136" t="str">
        <f>HLOOKUP(C693,'Assessment References'!$H$512:$BG$513,2,FALSE)</f>
        <v/>
      </c>
      <c r="G693" s="1137"/>
      <c r="H693" s="1138"/>
      <c r="I693" s="824"/>
      <c r="J693" s="824"/>
      <c r="K693" s="825"/>
      <c r="L693" s="842" t="s">
        <v>543</v>
      </c>
      <c r="M693" s="821"/>
      <c r="N693" s="801"/>
      <c r="O693" s="822"/>
      <c r="P693" s="822"/>
      <c r="Q693" s="822"/>
      <c r="R693" s="822"/>
      <c r="S693" s="822"/>
      <c r="T693" s="822"/>
      <c r="U693" s="822"/>
      <c r="V693" s="822"/>
      <c r="W693" s="822"/>
      <c r="X693" s="822"/>
      <c r="Y693" s="823"/>
      <c r="Z693" s="823"/>
      <c r="AA693" s="823"/>
    </row>
    <row r="694" spans="1:27" ht="15.75" thickBot="1" x14ac:dyDescent="0.3">
      <c r="A694" s="1035">
        <v>685</v>
      </c>
      <c r="B694" s="1035" t="s">
        <v>57</v>
      </c>
      <c r="C694" s="1036" t="s">
        <v>163</v>
      </c>
      <c r="D694" s="1363"/>
      <c r="E694" s="1352"/>
      <c r="F694" s="1352"/>
      <c r="G694" s="1352"/>
      <c r="H694" s="1353"/>
      <c r="I694" s="824"/>
      <c r="J694" s="824"/>
      <c r="K694" s="825"/>
      <c r="L694" s="840"/>
      <c r="M694" s="821"/>
      <c r="N694" s="801"/>
      <c r="O694" s="822"/>
      <c r="P694" s="822"/>
      <c r="Q694" s="822"/>
      <c r="R694" s="822"/>
      <c r="S694" s="822"/>
      <c r="T694" s="822"/>
      <c r="U694" s="822"/>
      <c r="V694" s="822"/>
      <c r="W694" s="822"/>
      <c r="X694" s="822"/>
      <c r="Y694" s="823"/>
      <c r="Z694" s="823"/>
      <c r="AA694" s="823"/>
    </row>
    <row r="695" spans="1:27" x14ac:dyDescent="0.25">
      <c r="A695" s="1035">
        <v>686</v>
      </c>
      <c r="B695" s="1035" t="s">
        <v>57</v>
      </c>
      <c r="C695" s="1036" t="s">
        <v>163</v>
      </c>
      <c r="D695" s="1354"/>
      <c r="E695" s="1355"/>
      <c r="F695" s="1355"/>
      <c r="G695" s="1355"/>
      <c r="H695" s="1356"/>
      <c r="I695" s="824"/>
      <c r="J695" s="824"/>
      <c r="K695" s="825"/>
      <c r="L695" s="841" t="str">
        <f>IF(L699=AIS_Yes,(IF(L700=N700,N700,L698)),ADBT0)</f>
        <v>Office</v>
      </c>
      <c r="M695" s="821"/>
      <c r="N695" s="801"/>
      <c r="O695" s="822"/>
      <c r="Q695" s="822"/>
      <c r="R695" s="822"/>
      <c r="S695" s="822"/>
      <c r="T695" s="822"/>
      <c r="U695" s="822"/>
      <c r="V695" s="822"/>
      <c r="W695" s="822"/>
      <c r="X695" s="822"/>
      <c r="Y695" s="823"/>
      <c r="Z695" s="823"/>
      <c r="AA695" s="823"/>
    </row>
    <row r="696" spans="1:27" ht="15.75" thickBot="1" x14ac:dyDescent="0.3">
      <c r="A696" s="1035">
        <v>687</v>
      </c>
      <c r="B696" s="1035" t="s">
        <v>57</v>
      </c>
      <c r="C696" s="1036" t="s">
        <v>163</v>
      </c>
      <c r="D696" s="1354"/>
      <c r="E696" s="1355"/>
      <c r="F696" s="1355"/>
      <c r="G696" s="1355"/>
      <c r="H696" s="1356"/>
      <c r="I696" s="824"/>
      <c r="J696" s="824"/>
      <c r="K696" s="825"/>
      <c r="L696" s="842" t="str">
        <f>ADBT12</f>
        <v>Residential</v>
      </c>
      <c r="M696" s="821"/>
      <c r="N696" s="801" t="s">
        <v>1234</v>
      </c>
      <c r="O696" s="822"/>
      <c r="Q696" s="822"/>
      <c r="R696" s="822"/>
      <c r="S696" s="822"/>
      <c r="T696" s="822"/>
      <c r="U696" s="822"/>
      <c r="V696" s="822"/>
      <c r="W696" s="822"/>
      <c r="X696" s="822"/>
      <c r="Y696" s="823"/>
      <c r="Z696" s="823"/>
      <c r="AA696" s="823"/>
    </row>
    <row r="697" spans="1:27" x14ac:dyDescent="0.25">
      <c r="A697" s="1035">
        <v>688</v>
      </c>
      <c r="B697" s="1035" t="s">
        <v>57</v>
      </c>
      <c r="C697" s="1036" t="s">
        <v>163</v>
      </c>
      <c r="D697" s="1364"/>
      <c r="E697" s="1358"/>
      <c r="F697" s="1358"/>
      <c r="G697" s="1358"/>
      <c r="H697" s="1359"/>
      <c r="I697" s="824"/>
      <c r="J697" s="824"/>
      <c r="K697" s="825"/>
      <c r="L697" s="820"/>
      <c r="M697" s="821"/>
      <c r="N697" s="801" t="s">
        <v>1233</v>
      </c>
      <c r="O697" s="822"/>
      <c r="Q697" s="822"/>
      <c r="R697" s="822"/>
      <c r="S697" s="822"/>
      <c r="T697" s="822"/>
      <c r="U697" s="822"/>
      <c r="V697" s="822"/>
      <c r="W697" s="822"/>
      <c r="X697" s="822"/>
      <c r="Y697" s="823"/>
      <c r="Z697" s="823"/>
      <c r="AA697" s="823"/>
    </row>
    <row r="698" spans="1:27" x14ac:dyDescent="0.25">
      <c r="A698" s="1035">
        <v>689</v>
      </c>
      <c r="B698" s="1035" t="s">
        <v>57</v>
      </c>
      <c r="C698" s="1036" t="s">
        <v>163</v>
      </c>
      <c r="D698" s="1364"/>
      <c r="E698" s="1358"/>
      <c r="F698" s="1358"/>
      <c r="G698" s="1358"/>
      <c r="H698" s="1359"/>
      <c r="I698" s="1029"/>
      <c r="K698" s="783"/>
      <c r="L698" s="820" t="s">
        <v>1167</v>
      </c>
      <c r="M698" s="821"/>
      <c r="N698" s="801"/>
      <c r="O698" s="822"/>
      <c r="P698" s="822"/>
      <c r="Q698" s="822"/>
      <c r="R698" s="822"/>
      <c r="S698" s="822"/>
      <c r="T698" s="822"/>
      <c r="U698" s="822"/>
      <c r="V698" s="822"/>
      <c r="W698" s="822"/>
      <c r="X698" s="822"/>
      <c r="Y698" s="823"/>
      <c r="Z698" s="823"/>
      <c r="AA698" s="823"/>
    </row>
    <row r="699" spans="1:27" x14ac:dyDescent="0.25">
      <c r="A699" s="1035">
        <v>690</v>
      </c>
      <c r="B699" s="1035" t="s">
        <v>57</v>
      </c>
      <c r="C699" s="1036" t="s">
        <v>163</v>
      </c>
      <c r="D699" s="1360"/>
      <c r="E699" s="1361"/>
      <c r="F699" s="1361"/>
      <c r="G699" s="1361"/>
      <c r="H699" s="1362"/>
      <c r="I699" s="1029"/>
      <c r="K699" s="783"/>
      <c r="L699" s="820" t="str">
        <f>'Manuell filtrering og justering'!H2</f>
        <v>No</v>
      </c>
      <c r="M699" s="821"/>
      <c r="N699" s="1077" t="s">
        <v>1191</v>
      </c>
      <c r="O699" s="822"/>
      <c r="P699" s="1076"/>
      <c r="Q699" s="822"/>
      <c r="R699" s="822"/>
      <c r="S699" s="822"/>
      <c r="T699" s="822"/>
      <c r="U699" s="822"/>
      <c r="V699" s="822"/>
      <c r="W699" s="822"/>
      <c r="X699" s="822"/>
      <c r="Y699" s="823"/>
      <c r="Z699" s="823"/>
      <c r="AA699" s="823"/>
    </row>
    <row r="700" spans="1:27" ht="15.75" thickBot="1" x14ac:dyDescent="0.3">
      <c r="A700" s="1035">
        <v>691</v>
      </c>
      <c r="B700" s="1035" t="s">
        <v>57</v>
      </c>
      <c r="C700" s="1036" t="s">
        <v>163</v>
      </c>
      <c r="D700" s="1137"/>
      <c r="E700" s="1137"/>
      <c r="F700" s="1137"/>
      <c r="G700" s="1137"/>
      <c r="H700" s="1137"/>
      <c r="I700" s="1029"/>
      <c r="K700" s="783"/>
      <c r="L700" s="1073" t="s">
        <v>1190</v>
      </c>
      <c r="M700" s="821"/>
      <c r="N700" s="1077" t="s">
        <v>1190</v>
      </c>
      <c r="O700" s="822"/>
      <c r="P700" s="1076"/>
      <c r="Q700" s="822"/>
      <c r="R700" s="822"/>
      <c r="S700" s="822"/>
      <c r="T700" s="822"/>
      <c r="U700" s="822"/>
      <c r="V700" s="822"/>
      <c r="W700" s="822"/>
      <c r="X700" s="822"/>
      <c r="Y700" s="823"/>
      <c r="Z700" s="823"/>
      <c r="AA700" s="823"/>
    </row>
    <row r="701" spans="1:27" x14ac:dyDescent="0.25">
      <c r="A701" s="1039">
        <v>692</v>
      </c>
      <c r="B701" s="1039" t="s">
        <v>57</v>
      </c>
      <c r="C701" s="802" t="s">
        <v>164</v>
      </c>
      <c r="D701" s="1103" t="s">
        <v>906</v>
      </c>
      <c r="E701" s="1104"/>
      <c r="F701" s="1104"/>
      <c r="G701" s="1105"/>
      <c r="H701" s="1167" t="str">
        <f>IF(Tra04_credits=AIS_credit00,AIS_statement32,"")</f>
        <v/>
      </c>
      <c r="I701" s="807"/>
      <c r="J701" s="807"/>
      <c r="K701" s="808"/>
      <c r="L701" s="809" t="str">
        <f>C701</f>
        <v>Tra 04</v>
      </c>
      <c r="M701" s="821"/>
      <c r="N701" s="801"/>
      <c r="O701" s="822"/>
      <c r="P701" s="1260" t="str">
        <f>IF(L699=AIS_Yes,'Manuell filtrering og justering'!I44,"")</f>
        <v/>
      </c>
      <c r="Q701" s="822"/>
      <c r="R701" s="822"/>
      <c r="S701" s="822"/>
      <c r="T701" s="822"/>
      <c r="U701" s="822"/>
      <c r="V701" s="822"/>
      <c r="W701" s="822"/>
      <c r="X701" s="822"/>
      <c r="Y701" s="823"/>
      <c r="Z701" s="823"/>
      <c r="AA701" s="823"/>
    </row>
    <row r="702" spans="1:27" ht="15.75" thickBot="1" x14ac:dyDescent="0.3">
      <c r="A702" s="1035">
        <v>693</v>
      </c>
      <c r="B702" s="1035" t="s">
        <v>57</v>
      </c>
      <c r="C702" s="1036" t="s">
        <v>164</v>
      </c>
      <c r="D702" s="1107" t="s">
        <v>17</v>
      </c>
      <c r="E702" s="1108">
        <f>Tra04_credits</f>
        <v>2</v>
      </c>
      <c r="F702" s="1109"/>
      <c r="G702" s="1110" t="s">
        <v>85</v>
      </c>
      <c r="H702" s="1111">
        <f>Tra04_09</f>
        <v>2.2222222222222223E-2</v>
      </c>
      <c r="I702" s="807"/>
      <c r="J702" s="807"/>
      <c r="K702" s="808"/>
      <c r="L702" s="894"/>
      <c r="M702" s="821"/>
      <c r="N702" s="801"/>
      <c r="O702" s="822"/>
      <c r="P702" s="822"/>
      <c r="Q702" s="822"/>
      <c r="R702" s="822"/>
      <c r="S702" s="822"/>
      <c r="T702" s="822"/>
      <c r="U702" s="822"/>
      <c r="V702" s="822"/>
      <c r="W702" s="822"/>
      <c r="X702" s="822"/>
      <c r="Y702" s="823"/>
      <c r="Z702" s="823"/>
      <c r="AA702" s="823"/>
    </row>
    <row r="703" spans="1:27" x14ac:dyDescent="0.25">
      <c r="A703" s="1035">
        <v>694</v>
      </c>
      <c r="B703" s="1035" t="s">
        <v>57</v>
      </c>
      <c r="C703" s="1036" t="s">
        <v>164</v>
      </c>
      <c r="D703" s="1112" t="s">
        <v>349</v>
      </c>
      <c r="E703" s="1113">
        <v>0</v>
      </c>
      <c r="F703" s="1114"/>
      <c r="G703" s="1115" t="s">
        <v>350</v>
      </c>
      <c r="H703" s="1116" t="s">
        <v>15</v>
      </c>
      <c r="I703" s="807"/>
      <c r="J703" s="807"/>
      <c r="K703" s="808"/>
      <c r="L703" s="828" t="s">
        <v>414</v>
      </c>
      <c r="M703" s="895">
        <v>0</v>
      </c>
      <c r="N703" s="830"/>
      <c r="O703" s="822"/>
      <c r="P703" s="822"/>
      <c r="Q703" s="822"/>
      <c r="R703" s="822"/>
      <c r="S703" s="822"/>
      <c r="T703" s="822"/>
      <c r="U703" s="822"/>
      <c r="V703" s="822"/>
      <c r="W703" s="822"/>
      <c r="X703" s="822"/>
      <c r="Y703" s="823"/>
      <c r="Z703" s="823"/>
      <c r="AA703" s="823"/>
    </row>
    <row r="704" spans="1:27" ht="15.75" thickBot="1" x14ac:dyDescent="0.3">
      <c r="A704" s="1035">
        <v>695</v>
      </c>
      <c r="B704" s="1035" t="s">
        <v>57</v>
      </c>
      <c r="C704" s="1036" t="s">
        <v>164</v>
      </c>
      <c r="I704" s="807"/>
      <c r="J704" s="807"/>
      <c r="K704" s="808"/>
      <c r="L704" s="831" t="s">
        <v>751</v>
      </c>
      <c r="M704" s="896">
        <v>3</v>
      </c>
      <c r="N704" s="830"/>
      <c r="O704" s="822"/>
      <c r="P704" s="822"/>
      <c r="Q704" s="822"/>
      <c r="R704" s="822"/>
      <c r="S704" s="822"/>
      <c r="T704" s="822"/>
      <c r="U704" s="822"/>
      <c r="V704" s="822"/>
      <c r="W704" s="822"/>
      <c r="X704" s="822"/>
      <c r="Y704" s="823"/>
      <c r="Z704" s="823"/>
      <c r="AA704" s="823"/>
    </row>
    <row r="705" spans="1:27" x14ac:dyDescent="0.25">
      <c r="A705" s="1035">
        <v>696</v>
      </c>
      <c r="B705" s="1035" t="s">
        <v>57</v>
      </c>
      <c r="C705" s="1036" t="s">
        <v>164</v>
      </c>
      <c r="D705" s="1119" t="s">
        <v>747</v>
      </c>
      <c r="E705" s="1183" t="str">
        <f>E637</f>
        <v>Please Select</v>
      </c>
      <c r="F705" s="1145" t="str">
        <f>IF(Options!J48=Options!J50,Options!J50,IF(AND(Options!J48=Options!J51,Options!J49=Options!K49),Options!K49,""))</f>
        <v/>
      </c>
      <c r="I705" s="807"/>
      <c r="J705" s="807"/>
      <c r="K705" s="808"/>
      <c r="L705" s="831" t="s">
        <v>1041</v>
      </c>
      <c r="M705" s="896">
        <v>7</v>
      </c>
      <c r="N705" s="830"/>
      <c r="O705" s="822"/>
      <c r="P705" s="822"/>
      <c r="Q705" s="822"/>
      <c r="R705" s="822"/>
      <c r="S705" s="822"/>
      <c r="T705" s="822"/>
      <c r="U705" s="822"/>
      <c r="V705" s="822"/>
      <c r="W705" s="822"/>
      <c r="X705" s="822"/>
      <c r="Y705" s="823"/>
      <c r="Z705" s="823"/>
      <c r="AA705" s="823"/>
    </row>
    <row r="706" spans="1:27" ht="15.75" thickBot="1" x14ac:dyDescent="0.3">
      <c r="A706" s="1035">
        <v>697</v>
      </c>
      <c r="B706" s="1035" t="s">
        <v>57</v>
      </c>
      <c r="C706" s="1036" t="s">
        <v>164</v>
      </c>
      <c r="D706" s="1123" t="s">
        <v>1057</v>
      </c>
      <c r="E706" s="1096">
        <f>E640</f>
        <v>0</v>
      </c>
      <c r="I706" s="807"/>
      <c r="J706" s="807"/>
      <c r="K706" s="808"/>
      <c r="L706" s="835" t="s">
        <v>1042</v>
      </c>
      <c r="M706" s="897">
        <v>8</v>
      </c>
      <c r="N706" s="830"/>
      <c r="O706" s="822"/>
      <c r="P706" s="822"/>
      <c r="Q706" s="822"/>
      <c r="R706" s="822"/>
      <c r="S706" s="822"/>
      <c r="T706" s="822"/>
      <c r="U706" s="822"/>
      <c r="V706" s="822"/>
      <c r="W706" s="822"/>
      <c r="X706" s="822"/>
      <c r="Y706" s="823"/>
      <c r="Z706" s="823"/>
      <c r="AA706" s="823"/>
    </row>
    <row r="707" spans="1:27" ht="15.75" thickBot="1" x14ac:dyDescent="0.3">
      <c r="A707" s="1035">
        <v>698</v>
      </c>
      <c r="B707" s="1035" t="s">
        <v>57</v>
      </c>
      <c r="C707" s="1036" t="s">
        <v>164</v>
      </c>
      <c r="I707" s="807"/>
      <c r="J707" s="807"/>
      <c r="K707" s="808"/>
      <c r="L707" s="843">
        <f>IF(E706&lt;4,3,IF(E706&lt;8,7,IF(E706&lt;100,8,0)))</f>
        <v>3</v>
      </c>
      <c r="M707" s="806"/>
      <c r="N707" s="830"/>
      <c r="O707" s="822"/>
      <c r="P707" s="822"/>
      <c r="Q707" s="822"/>
      <c r="R707" s="822"/>
      <c r="S707" s="822"/>
      <c r="T707" s="822"/>
      <c r="U707" s="822"/>
      <c r="V707" s="822"/>
      <c r="W707" s="822"/>
      <c r="X707" s="822"/>
      <c r="Y707" s="823"/>
      <c r="Z707" s="823"/>
      <c r="AA707" s="823"/>
    </row>
    <row r="708" spans="1:27" ht="15.75" thickBot="1" x14ac:dyDescent="0.3">
      <c r="A708" s="1035">
        <v>699</v>
      </c>
      <c r="B708" s="1035" t="s">
        <v>57</v>
      </c>
      <c r="C708" s="1036" t="s">
        <v>164</v>
      </c>
      <c r="D708" s="1117" t="s">
        <v>351</v>
      </c>
      <c r="E708" s="1118" t="s">
        <v>352</v>
      </c>
      <c r="F708" s="1118" t="s">
        <v>353</v>
      </c>
      <c r="G708" s="1118" t="s">
        <v>354</v>
      </c>
      <c r="H708" s="1118" t="s">
        <v>355</v>
      </c>
      <c r="I708" s="807"/>
      <c r="J708" s="807"/>
      <c r="K708" s="808"/>
      <c r="L708" s="889"/>
      <c r="M708" s="806"/>
      <c r="N708" s="830"/>
      <c r="O708" s="822"/>
      <c r="P708" s="822"/>
      <c r="Q708" s="822"/>
      <c r="R708" s="822"/>
      <c r="S708" s="822"/>
      <c r="T708" s="822"/>
      <c r="U708" s="822"/>
      <c r="V708" s="822"/>
      <c r="W708" s="822"/>
      <c r="X708" s="822"/>
      <c r="Y708" s="823"/>
      <c r="Z708" s="823"/>
      <c r="AA708" s="823"/>
    </row>
    <row r="709" spans="1:27" ht="15.75" thickBot="1" x14ac:dyDescent="0.3">
      <c r="A709" s="1035">
        <v>700</v>
      </c>
      <c r="B709" s="1035" t="s">
        <v>57</v>
      </c>
      <c r="C709" s="1036" t="s">
        <v>164</v>
      </c>
      <c r="D709" s="1142" t="s">
        <v>750</v>
      </c>
      <c r="E709" s="1092" t="s">
        <v>414</v>
      </c>
      <c r="F709" s="1140">
        <f>IF(Options!H64=AIS_NA,AIS_NA,E702)</f>
        <v>2</v>
      </c>
      <c r="G709" s="1124">
        <f>Options!F65</f>
        <v>0</v>
      </c>
      <c r="H709" s="1319" t="s">
        <v>16</v>
      </c>
      <c r="I709" s="807"/>
      <c r="J709" s="807"/>
      <c r="K709" s="808"/>
      <c r="L709" s="820"/>
      <c r="M709" s="806"/>
      <c r="N709" s="830"/>
      <c r="O709" s="102" t="s">
        <v>1273</v>
      </c>
      <c r="P709" s="822"/>
      <c r="Q709" s="822"/>
      <c r="R709" s="822"/>
      <c r="S709" s="822"/>
      <c r="T709" s="822"/>
      <c r="U709" s="822" t="str">
        <f>$T$4</f>
        <v>No</v>
      </c>
      <c r="V709" s="822"/>
      <c r="W709" s="822"/>
      <c r="X709" s="822"/>
      <c r="Y709" s="823"/>
      <c r="Z709" s="823"/>
      <c r="AA709" s="823"/>
    </row>
    <row r="710" spans="1:27" x14ac:dyDescent="0.25">
      <c r="A710" s="1035">
        <v>701</v>
      </c>
      <c r="B710" s="1035" t="s">
        <v>57</v>
      </c>
      <c r="C710" s="1036" t="s">
        <v>164</v>
      </c>
      <c r="I710" s="807"/>
      <c r="J710" s="807"/>
      <c r="K710" s="808"/>
      <c r="L710" s="820"/>
      <c r="M710" s="806"/>
      <c r="N710" s="830"/>
      <c r="O710" s="822"/>
      <c r="P710" s="822"/>
      <c r="Q710" s="822"/>
      <c r="R710" s="822"/>
      <c r="S710" s="822"/>
      <c r="T710" s="822"/>
      <c r="U710" s="822"/>
      <c r="V710" s="822"/>
      <c r="W710" s="822"/>
      <c r="X710" s="822"/>
      <c r="Y710" s="823"/>
      <c r="Z710" s="823"/>
      <c r="AA710" s="823"/>
    </row>
    <row r="711" spans="1:27" x14ac:dyDescent="0.25">
      <c r="A711" s="1035">
        <v>702</v>
      </c>
      <c r="B711" s="1035" t="s">
        <v>57</v>
      </c>
      <c r="C711" s="1036" t="s">
        <v>164</v>
      </c>
      <c r="D711" s="1127" t="s">
        <v>356</v>
      </c>
      <c r="E711" s="1128">
        <f>IF(G709=AIS_NA,0,G709)</f>
        <v>0</v>
      </c>
      <c r="I711" s="1029"/>
      <c r="J711" s="807"/>
      <c r="K711" s="808"/>
      <c r="L711" s="820"/>
      <c r="M711" s="806"/>
      <c r="N711" s="830"/>
      <c r="O711" s="822"/>
      <c r="P711" s="822"/>
      <c r="Q711" s="822"/>
      <c r="R711" s="822"/>
      <c r="S711" s="822"/>
      <c r="T711" s="822"/>
      <c r="U711" s="822"/>
      <c r="V711" s="822"/>
      <c r="W711" s="822"/>
      <c r="X711" s="822"/>
      <c r="Y711" s="823"/>
      <c r="Z711" s="823"/>
      <c r="AA711" s="823"/>
    </row>
    <row r="712" spans="1:27" x14ac:dyDescent="0.25">
      <c r="A712" s="1035">
        <v>703</v>
      </c>
      <c r="B712" s="1035" t="s">
        <v>57</v>
      </c>
      <c r="C712" s="1036" t="s">
        <v>164</v>
      </c>
      <c r="D712" s="1129" t="s">
        <v>86</v>
      </c>
      <c r="E712" s="1130">
        <f>Tra04_10</f>
        <v>0</v>
      </c>
      <c r="I712" s="807"/>
      <c r="J712" s="807"/>
      <c r="K712" s="808"/>
      <c r="L712" s="820"/>
      <c r="M712" s="806"/>
      <c r="N712" s="830"/>
      <c r="O712" s="822"/>
      <c r="P712" s="822"/>
      <c r="Q712" s="822"/>
      <c r="R712" s="822"/>
      <c r="S712" s="822"/>
      <c r="T712" s="822"/>
      <c r="U712" s="822"/>
      <c r="V712" s="822"/>
      <c r="W712" s="822"/>
      <c r="X712" s="822"/>
      <c r="Y712" s="823"/>
      <c r="Z712" s="823"/>
      <c r="AA712" s="823"/>
    </row>
    <row r="713" spans="1:27" x14ac:dyDescent="0.25">
      <c r="A713" s="1035">
        <v>704</v>
      </c>
      <c r="B713" s="1035" t="s">
        <v>57</v>
      </c>
      <c r="C713" s="1036" t="s">
        <v>164</v>
      </c>
      <c r="D713" s="1131" t="s">
        <v>357</v>
      </c>
      <c r="E713" s="1128" t="s">
        <v>16</v>
      </c>
      <c r="I713" s="807"/>
      <c r="J713" s="807"/>
      <c r="K713" s="808"/>
      <c r="L713" s="820"/>
      <c r="M713" s="821"/>
      <c r="N713" s="801"/>
      <c r="O713" s="822"/>
      <c r="P713" s="822"/>
      <c r="Q713" s="822"/>
      <c r="R713" s="822"/>
      <c r="S713" s="822"/>
      <c r="T713" s="822"/>
      <c r="U713" s="822"/>
      <c r="V713" s="822"/>
      <c r="W713" s="822"/>
      <c r="X713" s="822"/>
      <c r="Y713" s="823"/>
      <c r="Z713" s="823"/>
      <c r="AA713" s="823"/>
    </row>
    <row r="714" spans="1:27" x14ac:dyDescent="0.25">
      <c r="A714" s="1035">
        <v>705</v>
      </c>
      <c r="B714" s="1035" t="s">
        <v>57</v>
      </c>
      <c r="C714" s="1036" t="s">
        <v>164</v>
      </c>
      <c r="D714" s="1132" t="s">
        <v>55</v>
      </c>
      <c r="E714" s="1133" t="s">
        <v>16</v>
      </c>
      <c r="F714" s="1134"/>
      <c r="G714" s="1135"/>
      <c r="I714" s="807"/>
      <c r="J714" s="807"/>
      <c r="K714" s="808"/>
      <c r="L714" s="820"/>
      <c r="M714" s="821"/>
      <c r="N714" s="801"/>
      <c r="O714" s="822"/>
      <c r="P714" s="822"/>
      <c r="Q714" s="822"/>
      <c r="R714" s="822"/>
      <c r="S714" s="822"/>
      <c r="T714" s="822"/>
      <c r="U714" s="822"/>
      <c r="V714" s="822"/>
      <c r="W714" s="822"/>
      <c r="X714" s="822"/>
      <c r="Y714" s="823"/>
      <c r="Z714" s="823"/>
      <c r="AA714" s="823"/>
    </row>
    <row r="715" spans="1:27" x14ac:dyDescent="0.25">
      <c r="A715" s="1035">
        <v>706</v>
      </c>
      <c r="B715" s="1035" t="s">
        <v>57</v>
      </c>
      <c r="C715" s="1036" t="s">
        <v>164</v>
      </c>
      <c r="I715" s="807"/>
      <c r="J715" s="807"/>
      <c r="K715" s="808"/>
      <c r="L715" s="820"/>
      <c r="M715" s="821"/>
      <c r="N715" s="801"/>
      <c r="O715" s="822"/>
      <c r="P715" s="822"/>
      <c r="Q715" s="822"/>
      <c r="R715" s="822"/>
      <c r="S715" s="822"/>
      <c r="T715" s="822"/>
      <c r="U715" s="822"/>
      <c r="V715" s="822"/>
      <c r="W715" s="822"/>
      <c r="X715" s="822"/>
      <c r="Y715" s="823"/>
      <c r="Z715" s="823"/>
      <c r="AA715" s="823"/>
    </row>
    <row r="716" spans="1:27" x14ac:dyDescent="0.25">
      <c r="A716" s="1035">
        <v>707</v>
      </c>
      <c r="B716" s="1035" t="s">
        <v>57</v>
      </c>
      <c r="C716" s="1036" t="s">
        <v>164</v>
      </c>
      <c r="D716" s="1136" t="s">
        <v>359</v>
      </c>
      <c r="E716" s="1136" t="s">
        <v>977</v>
      </c>
      <c r="F716" s="1136" t="str">
        <f>HLOOKUP(C716,'Assessment References'!$H$512:$BG$513,2,FALSE)</f>
        <v/>
      </c>
      <c r="G716" s="1137"/>
      <c r="H716" s="1138"/>
      <c r="I716" s="807"/>
      <c r="J716" s="807"/>
      <c r="K716" s="808"/>
      <c r="L716" s="820"/>
      <c r="M716" s="821"/>
      <c r="N716" s="801"/>
      <c r="O716" s="822"/>
      <c r="P716" s="822"/>
      <c r="Q716" s="822"/>
      <c r="R716" s="822"/>
      <c r="S716" s="822"/>
      <c r="T716" s="822"/>
      <c r="U716" s="822"/>
      <c r="V716" s="822"/>
      <c r="W716" s="822"/>
      <c r="X716" s="822"/>
      <c r="Y716" s="823"/>
      <c r="Z716" s="823"/>
      <c r="AA716" s="823"/>
    </row>
    <row r="717" spans="1:27" x14ac:dyDescent="0.25">
      <c r="A717" s="1035">
        <v>708</v>
      </c>
      <c r="B717" s="1035" t="s">
        <v>57</v>
      </c>
      <c r="C717" s="1036" t="s">
        <v>164</v>
      </c>
      <c r="D717" s="1363"/>
      <c r="E717" s="1352"/>
      <c r="F717" s="1352"/>
      <c r="G717" s="1352"/>
      <c r="H717" s="1353"/>
      <c r="I717" s="807"/>
      <c r="J717" s="807"/>
      <c r="K717" s="808"/>
      <c r="L717" s="820"/>
      <c r="M717" s="821"/>
      <c r="N717" s="801"/>
      <c r="O717" s="822"/>
      <c r="P717" s="822"/>
      <c r="Q717" s="822"/>
      <c r="R717" s="822"/>
      <c r="S717" s="822"/>
      <c r="T717" s="822"/>
      <c r="U717" s="822"/>
      <c r="V717" s="822"/>
      <c r="W717" s="822"/>
      <c r="X717" s="822"/>
      <c r="Y717" s="823"/>
      <c r="Z717" s="823"/>
      <c r="AA717" s="823"/>
    </row>
    <row r="718" spans="1:27" x14ac:dyDescent="0.25">
      <c r="A718" s="1035">
        <v>709</v>
      </c>
      <c r="B718" s="1035" t="s">
        <v>57</v>
      </c>
      <c r="C718" s="1036" t="s">
        <v>164</v>
      </c>
      <c r="D718" s="1354"/>
      <c r="E718" s="1355"/>
      <c r="F718" s="1355"/>
      <c r="G718" s="1355"/>
      <c r="H718" s="1356"/>
      <c r="I718" s="807"/>
      <c r="J718" s="807"/>
      <c r="K718" s="808"/>
      <c r="L718" s="820"/>
      <c r="M718" s="821"/>
      <c r="N718" s="801"/>
      <c r="O718" s="822"/>
      <c r="P718" s="822"/>
      <c r="Q718" s="822"/>
      <c r="R718" s="822"/>
      <c r="S718" s="822"/>
      <c r="T718" s="822"/>
      <c r="U718" s="822"/>
      <c r="V718" s="822"/>
      <c r="W718" s="822"/>
      <c r="X718" s="822"/>
      <c r="Y718" s="823"/>
      <c r="Z718" s="823"/>
      <c r="AA718" s="823"/>
    </row>
    <row r="719" spans="1:27" x14ac:dyDescent="0.25">
      <c r="A719" s="1035">
        <v>710</v>
      </c>
      <c r="B719" s="1035" t="s">
        <v>57</v>
      </c>
      <c r="C719" s="1036" t="s">
        <v>164</v>
      </c>
      <c r="D719" s="1354"/>
      <c r="E719" s="1355"/>
      <c r="F719" s="1355"/>
      <c r="G719" s="1355"/>
      <c r="H719" s="1356"/>
      <c r="I719" s="807"/>
      <c r="J719" s="807"/>
      <c r="K719" s="808"/>
      <c r="L719" s="820"/>
      <c r="M719" s="821"/>
      <c r="N719" s="801"/>
      <c r="O719" s="822"/>
      <c r="P719" s="822"/>
      <c r="Q719" s="822"/>
      <c r="R719" s="822"/>
      <c r="S719" s="822"/>
      <c r="T719" s="822"/>
      <c r="U719" s="822"/>
      <c r="V719" s="822"/>
      <c r="W719" s="822"/>
      <c r="X719" s="822"/>
      <c r="Y719" s="823"/>
      <c r="Z719" s="823"/>
      <c r="AA719" s="823"/>
    </row>
    <row r="720" spans="1:27" x14ac:dyDescent="0.25">
      <c r="A720" s="1035">
        <v>711</v>
      </c>
      <c r="B720" s="1035" t="s">
        <v>57</v>
      </c>
      <c r="C720" s="1036" t="s">
        <v>164</v>
      </c>
      <c r="D720" s="1364"/>
      <c r="E720" s="1358"/>
      <c r="F720" s="1358"/>
      <c r="G720" s="1358"/>
      <c r="H720" s="1359"/>
      <c r="I720" s="807"/>
      <c r="J720" s="807"/>
      <c r="K720" s="808"/>
      <c r="L720" s="820"/>
      <c r="M720" s="821"/>
      <c r="N720" s="801"/>
      <c r="O720" s="822"/>
      <c r="P720" s="822"/>
      <c r="Q720" s="822"/>
      <c r="R720" s="822"/>
      <c r="S720" s="822"/>
      <c r="T720" s="822"/>
      <c r="U720" s="822"/>
      <c r="V720" s="822"/>
      <c r="W720" s="822"/>
      <c r="X720" s="822"/>
      <c r="Y720" s="823"/>
      <c r="Z720" s="823"/>
      <c r="AA720" s="823"/>
    </row>
    <row r="721" spans="1:27" x14ac:dyDescent="0.25">
      <c r="A721" s="1035">
        <v>712</v>
      </c>
      <c r="B721" s="1035" t="s">
        <v>57</v>
      </c>
      <c r="C721" s="1036" t="s">
        <v>164</v>
      </c>
      <c r="D721" s="1364"/>
      <c r="E721" s="1358"/>
      <c r="F721" s="1358"/>
      <c r="G721" s="1358"/>
      <c r="H721" s="1359"/>
      <c r="I721" s="807"/>
      <c r="J721" s="807"/>
      <c r="K721" s="808"/>
      <c r="L721" s="820"/>
      <c r="M721" s="821"/>
      <c r="N721" s="801"/>
      <c r="O721" s="822"/>
      <c r="P721" s="822"/>
      <c r="Q721" s="822"/>
      <c r="R721" s="822"/>
      <c r="S721" s="822"/>
      <c r="T721" s="822"/>
      <c r="U721" s="822"/>
      <c r="V721" s="822"/>
      <c r="W721" s="822"/>
      <c r="X721" s="822"/>
      <c r="Y721" s="823"/>
      <c r="Z721" s="823"/>
      <c r="AA721" s="823"/>
    </row>
    <row r="722" spans="1:27" x14ac:dyDescent="0.25">
      <c r="A722" s="1035">
        <v>713</v>
      </c>
      <c r="B722" s="1035" t="s">
        <v>57</v>
      </c>
      <c r="C722" s="1036" t="s">
        <v>164</v>
      </c>
      <c r="D722" s="1360"/>
      <c r="E722" s="1361"/>
      <c r="F722" s="1361"/>
      <c r="G722" s="1361"/>
      <c r="H722" s="1362"/>
      <c r="I722" s="807"/>
      <c r="J722" s="807"/>
      <c r="K722" s="808"/>
      <c r="L722" s="820"/>
      <c r="M722" s="821"/>
      <c r="N722" s="801"/>
      <c r="O722" s="822"/>
      <c r="P722" s="822"/>
      <c r="Q722" s="822"/>
      <c r="R722" s="822"/>
      <c r="S722" s="822"/>
      <c r="T722" s="822"/>
      <c r="U722" s="822"/>
      <c r="V722" s="822"/>
      <c r="W722" s="822"/>
      <c r="X722" s="822"/>
      <c r="Y722" s="823"/>
      <c r="Z722" s="823"/>
      <c r="AA722" s="823"/>
    </row>
    <row r="723" spans="1:27" ht="15.75" thickBot="1" x14ac:dyDescent="0.3">
      <c r="A723" s="1035">
        <v>714</v>
      </c>
      <c r="B723" s="1035" t="s">
        <v>57</v>
      </c>
      <c r="C723" s="1036" t="s">
        <v>164</v>
      </c>
      <c r="D723" s="1137"/>
      <c r="E723" s="1137"/>
      <c r="F723" s="1137"/>
      <c r="G723" s="1137"/>
      <c r="H723" s="1137"/>
      <c r="I723" s="807"/>
      <c r="J723" s="807"/>
      <c r="K723" s="808"/>
      <c r="L723" s="820"/>
      <c r="M723" s="821"/>
      <c r="N723" s="801"/>
      <c r="O723" s="822"/>
      <c r="P723" s="822"/>
      <c r="Q723" s="822"/>
      <c r="R723" s="822"/>
      <c r="S723" s="822"/>
      <c r="T723" s="822"/>
      <c r="U723" s="822"/>
      <c r="V723" s="822"/>
      <c r="W723" s="822"/>
      <c r="X723" s="822"/>
      <c r="Y723" s="823"/>
      <c r="Z723" s="823"/>
      <c r="AA723" s="823"/>
    </row>
    <row r="724" spans="1:27" x14ac:dyDescent="0.25">
      <c r="A724" s="1037">
        <v>715</v>
      </c>
      <c r="B724" s="1037" t="s">
        <v>57</v>
      </c>
      <c r="C724" s="802" t="s">
        <v>165</v>
      </c>
      <c r="D724" s="1103" t="s">
        <v>907</v>
      </c>
      <c r="E724" s="1104"/>
      <c r="F724" s="1104"/>
      <c r="G724" s="1105"/>
      <c r="H724" s="1167" t="str">
        <f>IF(Tra05_credits=AIS_credit00,AIS_statement32,"")</f>
        <v/>
      </c>
      <c r="I724" s="807"/>
      <c r="J724" s="807"/>
      <c r="K724" s="808"/>
      <c r="L724" s="809" t="str">
        <f>C724</f>
        <v>Tra 05</v>
      </c>
      <c r="M724" s="821"/>
      <c r="N724" s="801"/>
      <c r="O724" s="822"/>
      <c r="P724" s="822"/>
      <c r="Q724" s="822"/>
      <c r="R724" s="822"/>
      <c r="S724" s="822"/>
      <c r="T724" s="822"/>
      <c r="U724" s="822"/>
      <c r="V724" s="822"/>
      <c r="W724" s="822"/>
      <c r="X724" s="822"/>
      <c r="Y724" s="823"/>
      <c r="Z724" s="823"/>
      <c r="AA724" s="823"/>
    </row>
    <row r="725" spans="1:27" x14ac:dyDescent="0.25">
      <c r="A725" s="1035">
        <v>716</v>
      </c>
      <c r="B725" s="1035" t="s">
        <v>57</v>
      </c>
      <c r="C725" s="1036" t="s">
        <v>165</v>
      </c>
      <c r="D725" s="1107" t="s">
        <v>17</v>
      </c>
      <c r="E725" s="1108">
        <f>Tra05_credits</f>
        <v>1</v>
      </c>
      <c r="F725" s="1109"/>
      <c r="G725" s="1110" t="s">
        <v>85</v>
      </c>
      <c r="H725" s="1111">
        <f>Tra05_04</f>
        <v>1.1111111111111112E-2</v>
      </c>
      <c r="I725" s="807"/>
      <c r="J725" s="807"/>
      <c r="K725" s="898"/>
      <c r="L725" s="820"/>
      <c r="M725" s="821"/>
      <c r="N725" s="801"/>
      <c r="O725" s="822"/>
      <c r="P725" s="822"/>
      <c r="Q725" s="822"/>
      <c r="R725" s="822"/>
      <c r="S725" s="822"/>
      <c r="T725" s="822"/>
      <c r="U725" s="822"/>
      <c r="V725" s="822"/>
      <c r="W725" s="822"/>
      <c r="X725" s="822"/>
      <c r="Y725" s="823"/>
      <c r="Z725" s="823"/>
      <c r="AA725" s="823"/>
    </row>
    <row r="726" spans="1:27" x14ac:dyDescent="0.25">
      <c r="A726" s="1035">
        <v>717</v>
      </c>
      <c r="B726" s="1035" t="s">
        <v>57</v>
      </c>
      <c r="C726" s="1036" t="s">
        <v>165</v>
      </c>
      <c r="D726" s="1112" t="s">
        <v>349</v>
      </c>
      <c r="E726" s="1113">
        <v>0</v>
      </c>
      <c r="F726" s="1114"/>
      <c r="G726" s="1115" t="s">
        <v>350</v>
      </c>
      <c r="H726" s="1116" t="s">
        <v>15</v>
      </c>
      <c r="I726" s="807"/>
      <c r="J726" s="807"/>
      <c r="K726" s="899"/>
      <c r="L726" s="820"/>
      <c r="M726" s="821"/>
      <c r="N726" s="801"/>
      <c r="O726" s="822"/>
      <c r="P726" s="822"/>
      <c r="Q726" s="822"/>
      <c r="R726" s="822"/>
      <c r="S726" s="822"/>
      <c r="T726" s="822"/>
      <c r="U726" s="822"/>
      <c r="V726" s="822"/>
      <c r="W726" s="822"/>
      <c r="X726" s="822"/>
      <c r="Y726" s="823"/>
      <c r="Z726" s="823"/>
      <c r="AA726" s="823"/>
    </row>
    <row r="727" spans="1:27" x14ac:dyDescent="0.25">
      <c r="A727" s="1035">
        <v>718</v>
      </c>
      <c r="B727" s="1035" t="s">
        <v>57</v>
      </c>
      <c r="C727" s="1036" t="s">
        <v>165</v>
      </c>
      <c r="I727" s="807"/>
      <c r="J727" s="807"/>
      <c r="K727" s="899"/>
      <c r="L727" s="820"/>
      <c r="M727" s="821"/>
      <c r="N727" s="801"/>
      <c r="O727" s="822"/>
      <c r="P727" s="822"/>
      <c r="Q727" s="822"/>
      <c r="R727" s="822"/>
      <c r="S727" s="822"/>
      <c r="T727" s="822"/>
      <c r="U727" s="822"/>
      <c r="V727" s="822"/>
      <c r="W727" s="822"/>
      <c r="X727" s="822"/>
      <c r="Y727" s="823"/>
      <c r="Z727" s="823"/>
      <c r="AA727" s="823"/>
    </row>
    <row r="728" spans="1:27" ht="15.75" thickBot="1" x14ac:dyDescent="0.3">
      <c r="A728" s="1035">
        <v>719</v>
      </c>
      <c r="B728" s="1035" t="s">
        <v>57</v>
      </c>
      <c r="C728" s="1036" t="s">
        <v>165</v>
      </c>
      <c r="D728" s="1117" t="s">
        <v>351</v>
      </c>
      <c r="E728" s="1118" t="s">
        <v>352</v>
      </c>
      <c r="F728" s="1118" t="s">
        <v>353</v>
      </c>
      <c r="G728" s="1118" t="s">
        <v>354</v>
      </c>
      <c r="H728" s="1118" t="s">
        <v>355</v>
      </c>
      <c r="I728" s="807"/>
      <c r="J728" s="807"/>
      <c r="K728" s="899"/>
      <c r="L728" s="820"/>
      <c r="M728" s="821"/>
      <c r="N728" s="801"/>
      <c r="O728" s="822"/>
      <c r="P728" s="822"/>
      <c r="Q728" s="822"/>
      <c r="R728" s="822"/>
      <c r="S728" s="822"/>
      <c r="T728" s="822"/>
      <c r="U728" s="822"/>
      <c r="V728" s="822"/>
      <c r="W728" s="822"/>
      <c r="X728" s="822"/>
      <c r="Y728" s="823"/>
      <c r="Z728" s="823"/>
      <c r="AA728" s="823"/>
    </row>
    <row r="729" spans="1:27" ht="15.75" thickBot="1" x14ac:dyDescent="0.3">
      <c r="A729" s="1035">
        <v>720</v>
      </c>
      <c r="B729" s="1035" t="s">
        <v>57</v>
      </c>
      <c r="C729" s="1036" t="s">
        <v>165</v>
      </c>
      <c r="D729" s="1142" t="s">
        <v>416</v>
      </c>
      <c r="E729" s="1098" t="s">
        <v>360</v>
      </c>
      <c r="F729" s="1143">
        <f>E725</f>
        <v>1</v>
      </c>
      <c r="G729" s="1143">
        <f>IF(E729=AIS_Yes,F729,0)</f>
        <v>0</v>
      </c>
      <c r="H729" s="1327" t="s">
        <v>16</v>
      </c>
      <c r="I729" s="807"/>
      <c r="J729" s="807"/>
      <c r="K729" s="899"/>
      <c r="L729" s="820"/>
      <c r="M729" s="821"/>
      <c r="N729" s="801"/>
      <c r="O729" s="102" t="s">
        <v>1273</v>
      </c>
      <c r="P729" s="822"/>
      <c r="Q729" s="822"/>
      <c r="R729" s="822"/>
      <c r="S729" s="822"/>
      <c r="T729" s="822"/>
      <c r="U729" s="822" t="str">
        <f>$T$4</f>
        <v>No</v>
      </c>
      <c r="V729" s="822"/>
      <c r="W729" s="822"/>
      <c r="X729" s="822"/>
      <c r="Y729" s="823"/>
      <c r="Z729" s="823"/>
      <c r="AA729" s="823"/>
    </row>
    <row r="730" spans="1:27" x14ac:dyDescent="0.25">
      <c r="A730" s="1035">
        <v>721</v>
      </c>
      <c r="B730" s="1035" t="s">
        <v>57</v>
      </c>
      <c r="C730" s="1036" t="s">
        <v>165</v>
      </c>
      <c r="E730" s="1144"/>
      <c r="I730" s="807"/>
      <c r="J730" s="807"/>
      <c r="K730" s="899"/>
      <c r="L730" s="820"/>
      <c r="M730" s="821"/>
      <c r="N730" s="801"/>
      <c r="O730" s="822"/>
      <c r="P730" s="822"/>
      <c r="Q730" s="822"/>
      <c r="R730" s="822"/>
      <c r="S730" s="822"/>
      <c r="T730" s="822"/>
      <c r="U730" s="822"/>
      <c r="V730" s="822"/>
      <c r="W730" s="822"/>
      <c r="X730" s="822"/>
      <c r="Y730" s="823"/>
      <c r="Z730" s="823"/>
      <c r="AA730" s="823"/>
    </row>
    <row r="731" spans="1:27" x14ac:dyDescent="0.25">
      <c r="A731" s="1035">
        <v>722</v>
      </c>
      <c r="B731" s="1035" t="s">
        <v>57</v>
      </c>
      <c r="C731" s="1036" t="s">
        <v>165</v>
      </c>
      <c r="D731" s="1127" t="s">
        <v>356</v>
      </c>
      <c r="E731" s="1128">
        <f>G729</f>
        <v>0</v>
      </c>
      <c r="I731" s="1029"/>
      <c r="J731" s="807"/>
      <c r="K731" s="899"/>
      <c r="L731" s="820"/>
      <c r="M731" s="821"/>
      <c r="N731" s="801"/>
      <c r="O731" s="822"/>
      <c r="P731" s="822"/>
      <c r="Q731" s="822"/>
      <c r="R731" s="822"/>
      <c r="S731" s="822"/>
      <c r="T731" s="822"/>
      <c r="U731" s="822"/>
      <c r="V731" s="822"/>
      <c r="W731" s="822"/>
      <c r="X731" s="822"/>
      <c r="Y731" s="823"/>
      <c r="Z731" s="823"/>
      <c r="AA731" s="823"/>
    </row>
    <row r="732" spans="1:27" x14ac:dyDescent="0.25">
      <c r="A732" s="1035">
        <v>723</v>
      </c>
      <c r="B732" s="1035" t="s">
        <v>57</v>
      </c>
      <c r="C732" s="1036" t="s">
        <v>165</v>
      </c>
      <c r="D732" s="1129" t="s">
        <v>86</v>
      </c>
      <c r="E732" s="1130">
        <f>Tra05_05</f>
        <v>0</v>
      </c>
      <c r="I732" s="807"/>
      <c r="J732" s="807"/>
      <c r="K732" s="899"/>
      <c r="L732" s="820"/>
      <c r="M732" s="821"/>
      <c r="N732" s="801"/>
      <c r="O732" s="822"/>
      <c r="P732" s="822"/>
      <c r="Q732" s="822"/>
      <c r="R732" s="822"/>
      <c r="S732" s="822"/>
      <c r="T732" s="822"/>
      <c r="U732" s="822"/>
      <c r="V732" s="822"/>
      <c r="W732" s="822"/>
      <c r="X732" s="822"/>
      <c r="Y732" s="823"/>
      <c r="Z732" s="823"/>
      <c r="AA732" s="823"/>
    </row>
    <row r="733" spans="1:27" x14ac:dyDescent="0.25">
      <c r="A733" s="1035">
        <v>724</v>
      </c>
      <c r="B733" s="1035" t="s">
        <v>57</v>
      </c>
      <c r="C733" s="1036" t="s">
        <v>165</v>
      </c>
      <c r="D733" s="1131" t="s">
        <v>357</v>
      </c>
      <c r="E733" s="1128" t="s">
        <v>16</v>
      </c>
      <c r="I733" s="807"/>
      <c r="J733" s="807"/>
      <c r="K733" s="899"/>
      <c r="L733" s="820"/>
      <c r="M733" s="821"/>
      <c r="N733" s="801"/>
      <c r="O733" s="822"/>
      <c r="P733" s="822"/>
      <c r="Q733" s="822"/>
      <c r="R733" s="822"/>
      <c r="S733" s="822"/>
      <c r="T733" s="822"/>
      <c r="U733" s="822"/>
      <c r="V733" s="822"/>
      <c r="W733" s="822"/>
      <c r="X733" s="822"/>
      <c r="Y733" s="823"/>
      <c r="Z733" s="823"/>
      <c r="AA733" s="823"/>
    </row>
    <row r="734" spans="1:27" x14ac:dyDescent="0.25">
      <c r="A734" s="1035">
        <v>725</v>
      </c>
      <c r="B734" s="1035" t="s">
        <v>57</v>
      </c>
      <c r="C734" s="1036" t="s">
        <v>165</v>
      </c>
      <c r="D734" s="1132" t="s">
        <v>55</v>
      </c>
      <c r="E734" s="1133" t="s">
        <v>16</v>
      </c>
      <c r="F734" s="1134"/>
      <c r="G734" s="1135"/>
      <c r="I734" s="807"/>
      <c r="J734" s="807"/>
      <c r="K734" s="899"/>
      <c r="L734" s="820"/>
      <c r="M734" s="821"/>
      <c r="N734" s="801"/>
      <c r="O734" s="822"/>
      <c r="P734" s="822"/>
      <c r="Q734" s="822"/>
      <c r="R734" s="822"/>
      <c r="S734" s="822"/>
      <c r="T734" s="822"/>
      <c r="U734" s="822"/>
      <c r="V734" s="822"/>
      <c r="W734" s="822"/>
      <c r="X734" s="822"/>
      <c r="Y734" s="823"/>
      <c r="Z734" s="823"/>
      <c r="AA734" s="823"/>
    </row>
    <row r="735" spans="1:27" x14ac:dyDescent="0.25">
      <c r="A735" s="1035">
        <v>726</v>
      </c>
      <c r="B735" s="1035" t="s">
        <v>57</v>
      </c>
      <c r="C735" s="1036" t="s">
        <v>165</v>
      </c>
      <c r="I735" s="807"/>
      <c r="J735" s="807"/>
      <c r="K735" s="899"/>
      <c r="L735" s="820"/>
      <c r="M735" s="821"/>
      <c r="N735" s="801"/>
      <c r="O735" s="822"/>
      <c r="P735" s="822"/>
      <c r="Q735" s="822"/>
      <c r="R735" s="822"/>
      <c r="S735" s="822"/>
      <c r="T735" s="822"/>
      <c r="U735" s="822"/>
      <c r="V735" s="822"/>
      <c r="W735" s="822"/>
      <c r="X735" s="822"/>
      <c r="Y735" s="823"/>
      <c r="Z735" s="823"/>
      <c r="AA735" s="823"/>
    </row>
    <row r="736" spans="1:27" x14ac:dyDescent="0.25">
      <c r="A736" s="1035">
        <v>727</v>
      </c>
      <c r="B736" s="1035" t="s">
        <v>57</v>
      </c>
      <c r="C736" s="1036" t="s">
        <v>165</v>
      </c>
      <c r="D736" s="1136" t="s">
        <v>359</v>
      </c>
      <c r="E736" s="1136" t="s">
        <v>977</v>
      </c>
      <c r="F736" s="1136" t="str">
        <f>HLOOKUP(C736,'Assessment References'!$H$512:$BG$513,2,FALSE)</f>
        <v/>
      </c>
      <c r="G736" s="1137"/>
      <c r="H736" s="1138"/>
      <c r="I736" s="807"/>
      <c r="J736" s="807"/>
      <c r="K736" s="899"/>
      <c r="L736" s="820"/>
      <c r="M736" s="821"/>
      <c r="N736" s="801"/>
      <c r="O736" s="822"/>
      <c r="P736" s="822"/>
      <c r="Q736" s="822"/>
      <c r="R736" s="822"/>
      <c r="S736" s="822"/>
      <c r="T736" s="822"/>
      <c r="U736" s="822"/>
      <c r="V736" s="822"/>
      <c r="W736" s="822"/>
      <c r="X736" s="822"/>
      <c r="Y736" s="823"/>
      <c r="Z736" s="823"/>
      <c r="AA736" s="823"/>
    </row>
    <row r="737" spans="1:27" x14ac:dyDescent="0.25">
      <c r="A737" s="1035">
        <v>728</v>
      </c>
      <c r="B737" s="1035" t="s">
        <v>57</v>
      </c>
      <c r="C737" s="1036" t="s">
        <v>165</v>
      </c>
      <c r="D737" s="1363"/>
      <c r="E737" s="1352"/>
      <c r="F737" s="1352"/>
      <c r="G737" s="1352"/>
      <c r="H737" s="1353"/>
      <c r="I737" s="807"/>
      <c r="J737" s="807"/>
      <c r="K737" s="899"/>
      <c r="L737" s="820"/>
      <c r="M737" s="821"/>
      <c r="N737" s="801"/>
      <c r="O737" s="822"/>
      <c r="P737" s="822"/>
      <c r="Q737" s="822"/>
      <c r="R737" s="822"/>
      <c r="S737" s="822"/>
      <c r="T737" s="822"/>
      <c r="U737" s="822"/>
      <c r="V737" s="822"/>
      <c r="W737" s="822"/>
      <c r="X737" s="822"/>
      <c r="Y737" s="823"/>
      <c r="Z737" s="823"/>
      <c r="AA737" s="823"/>
    </row>
    <row r="738" spans="1:27" x14ac:dyDescent="0.25">
      <c r="A738" s="1035">
        <v>729</v>
      </c>
      <c r="B738" s="1035" t="s">
        <v>57</v>
      </c>
      <c r="C738" s="1036" t="s">
        <v>165</v>
      </c>
      <c r="D738" s="1354"/>
      <c r="E738" s="1355"/>
      <c r="F738" s="1355"/>
      <c r="G738" s="1355"/>
      <c r="H738" s="1356"/>
      <c r="I738" s="807"/>
      <c r="J738" s="807"/>
      <c r="K738" s="899"/>
      <c r="L738" s="820"/>
      <c r="M738" s="821"/>
      <c r="N738" s="801"/>
      <c r="O738" s="822"/>
      <c r="P738" s="822"/>
      <c r="Q738" s="822"/>
      <c r="R738" s="822"/>
      <c r="S738" s="822"/>
      <c r="T738" s="822"/>
      <c r="U738" s="822"/>
      <c r="V738" s="822"/>
      <c r="W738" s="822"/>
      <c r="X738" s="822"/>
      <c r="Y738" s="823"/>
      <c r="Z738" s="823"/>
      <c r="AA738" s="823"/>
    </row>
    <row r="739" spans="1:27" x14ac:dyDescent="0.25">
      <c r="A739" s="1035">
        <v>730</v>
      </c>
      <c r="B739" s="1035" t="s">
        <v>57</v>
      </c>
      <c r="C739" s="1036" t="s">
        <v>165</v>
      </c>
      <c r="D739" s="1354"/>
      <c r="E739" s="1355"/>
      <c r="F739" s="1355"/>
      <c r="G739" s="1355"/>
      <c r="H739" s="1356"/>
      <c r="I739" s="807"/>
      <c r="J739" s="807"/>
      <c r="K739" s="899"/>
      <c r="L739" s="820"/>
      <c r="M739" s="821"/>
      <c r="N739" s="801"/>
      <c r="O739" s="822"/>
      <c r="P739" s="822"/>
      <c r="Q739" s="822"/>
      <c r="R739" s="822"/>
      <c r="S739" s="822"/>
      <c r="T739" s="822"/>
      <c r="U739" s="822"/>
      <c r="V739" s="822"/>
      <c r="W739" s="822"/>
      <c r="X739" s="822"/>
      <c r="Y739" s="823"/>
      <c r="Z739" s="823"/>
      <c r="AA739" s="823"/>
    </row>
    <row r="740" spans="1:27" x14ac:dyDescent="0.25">
      <c r="A740" s="1035">
        <v>731</v>
      </c>
      <c r="B740" s="1035" t="s">
        <v>57</v>
      </c>
      <c r="C740" s="1036" t="s">
        <v>165</v>
      </c>
      <c r="D740" s="1364"/>
      <c r="E740" s="1358"/>
      <c r="F740" s="1358"/>
      <c r="G740" s="1358"/>
      <c r="H740" s="1359"/>
      <c r="I740" s="807"/>
      <c r="J740" s="807"/>
      <c r="K740" s="899"/>
      <c r="L740" s="820"/>
      <c r="M740" s="821"/>
      <c r="N740" s="801"/>
      <c r="O740" s="822"/>
      <c r="P740" s="822"/>
      <c r="Q740" s="822"/>
      <c r="R740" s="822"/>
      <c r="S740" s="822"/>
      <c r="T740" s="822"/>
      <c r="U740" s="822"/>
      <c r="V740" s="822"/>
      <c r="W740" s="822"/>
      <c r="X740" s="822"/>
      <c r="Y740" s="823"/>
      <c r="Z740" s="823"/>
      <c r="AA740" s="823"/>
    </row>
    <row r="741" spans="1:27" x14ac:dyDescent="0.25">
      <c r="A741" s="1035">
        <v>732</v>
      </c>
      <c r="B741" s="1035" t="s">
        <v>57</v>
      </c>
      <c r="C741" s="1036" t="s">
        <v>165</v>
      </c>
      <c r="D741" s="1364"/>
      <c r="E741" s="1358"/>
      <c r="F741" s="1358"/>
      <c r="G741" s="1358"/>
      <c r="H741" s="1359"/>
      <c r="I741" s="807"/>
      <c r="J741" s="807"/>
      <c r="K741" s="899"/>
      <c r="L741" s="820"/>
      <c r="M741" s="821"/>
      <c r="N741" s="801"/>
      <c r="O741" s="822"/>
      <c r="P741" s="822"/>
      <c r="Q741" s="822"/>
      <c r="R741" s="822"/>
      <c r="S741" s="822"/>
      <c r="T741" s="822"/>
      <c r="U741" s="822"/>
      <c r="V741" s="822"/>
      <c r="W741" s="822"/>
      <c r="X741" s="822"/>
      <c r="Y741" s="823"/>
      <c r="Z741" s="823"/>
      <c r="AA741" s="823"/>
    </row>
    <row r="742" spans="1:27" x14ac:dyDescent="0.25">
      <c r="A742" s="1035">
        <v>733</v>
      </c>
      <c r="B742" s="1035" t="s">
        <v>57</v>
      </c>
      <c r="C742" s="1036" t="s">
        <v>165</v>
      </c>
      <c r="D742" s="1360"/>
      <c r="E742" s="1361"/>
      <c r="F742" s="1361"/>
      <c r="G742" s="1361"/>
      <c r="H742" s="1362"/>
      <c r="I742" s="807"/>
      <c r="J742" s="807"/>
      <c r="K742" s="899"/>
      <c r="L742" s="820"/>
      <c r="M742" s="821"/>
      <c r="N742" s="801"/>
      <c r="O742" s="822"/>
      <c r="P742" s="822"/>
      <c r="Q742" s="822"/>
      <c r="R742" s="822"/>
      <c r="S742" s="822"/>
      <c r="T742" s="822"/>
      <c r="U742" s="822"/>
      <c r="V742" s="822"/>
      <c r="W742" s="822"/>
      <c r="X742" s="822"/>
      <c r="Y742" s="823"/>
      <c r="Z742" s="823"/>
      <c r="AA742" s="823"/>
    </row>
    <row r="743" spans="1:27" ht="15.75" thickBot="1" x14ac:dyDescent="0.3">
      <c r="A743" s="1035">
        <v>734</v>
      </c>
      <c r="B743" s="1035" t="s">
        <v>57</v>
      </c>
      <c r="C743" s="1036" t="s">
        <v>165</v>
      </c>
      <c r="I743" s="807"/>
      <c r="J743" s="807"/>
      <c r="K743" s="783"/>
      <c r="L743" s="800"/>
      <c r="M743" s="776"/>
      <c r="N743" s="801"/>
      <c r="O743" s="822"/>
      <c r="P743" s="822"/>
      <c r="Q743" s="822"/>
      <c r="R743" s="822"/>
      <c r="S743" s="822"/>
      <c r="T743" s="822"/>
      <c r="U743" s="822"/>
      <c r="V743" s="822"/>
      <c r="W743" s="822"/>
      <c r="X743" s="822"/>
      <c r="Y743" s="823"/>
      <c r="Z743" s="823"/>
      <c r="AA743" s="823"/>
    </row>
    <row r="744" spans="1:27" x14ac:dyDescent="0.25">
      <c r="A744" s="1039">
        <v>735</v>
      </c>
      <c r="B744" s="1039" t="s">
        <v>57</v>
      </c>
      <c r="C744" s="802" t="s">
        <v>847</v>
      </c>
      <c r="D744" s="1103" t="s">
        <v>908</v>
      </c>
      <c r="E744" s="1104"/>
      <c r="F744" s="1104"/>
      <c r="G744" s="1105"/>
      <c r="H744" s="1167" t="str">
        <f>IF(Tra06_credits=AIS_credit00,AIS_statement32,"")</f>
        <v>Assessment Issue Not Applicable</v>
      </c>
      <c r="I744" s="807"/>
      <c r="J744" s="807"/>
      <c r="K744" s="783"/>
      <c r="L744" s="809" t="str">
        <f>C744</f>
        <v>Tra 06</v>
      </c>
      <c r="M744" s="776"/>
      <c r="N744" s="801"/>
      <c r="O744" s="822"/>
      <c r="P744" s="822"/>
      <c r="Q744" s="822"/>
      <c r="R744" s="822"/>
      <c r="S744" s="822"/>
      <c r="T744" s="822"/>
      <c r="U744" s="822"/>
      <c r="V744" s="822"/>
      <c r="W744" s="822"/>
      <c r="X744" s="822"/>
      <c r="Y744" s="823"/>
      <c r="Z744" s="823"/>
      <c r="AA744" s="823"/>
    </row>
    <row r="745" spans="1:27" x14ac:dyDescent="0.25">
      <c r="A745" s="1035">
        <v>736</v>
      </c>
      <c r="B745" s="1035" t="s">
        <v>57</v>
      </c>
      <c r="C745" s="1036" t="s">
        <v>847</v>
      </c>
      <c r="D745" s="1107" t="s">
        <v>17</v>
      </c>
      <c r="E745" s="1108">
        <f>Tra06_credits</f>
        <v>0</v>
      </c>
      <c r="F745" s="1109"/>
      <c r="G745" s="1110" t="s">
        <v>85</v>
      </c>
      <c r="H745" s="1111">
        <f>Tra06_04</f>
        <v>0</v>
      </c>
      <c r="I745" s="807"/>
      <c r="J745" s="807"/>
      <c r="K745" s="783"/>
      <c r="L745" s="800"/>
      <c r="M745" s="776"/>
      <c r="N745" s="801"/>
      <c r="O745" s="822"/>
      <c r="P745" s="822"/>
      <c r="Q745" s="822"/>
      <c r="R745" s="822"/>
      <c r="S745" s="822"/>
      <c r="T745" s="822"/>
      <c r="U745" s="822"/>
      <c r="V745" s="822"/>
      <c r="W745" s="822"/>
      <c r="X745" s="822"/>
      <c r="Y745" s="823"/>
      <c r="Z745" s="823"/>
      <c r="AA745" s="823"/>
    </row>
    <row r="746" spans="1:27" x14ac:dyDescent="0.25">
      <c r="A746" s="1035">
        <v>737</v>
      </c>
      <c r="B746" s="1035" t="s">
        <v>57</v>
      </c>
      <c r="C746" s="1036" t="s">
        <v>847</v>
      </c>
      <c r="D746" s="1112" t="s">
        <v>349</v>
      </c>
      <c r="E746" s="1113">
        <v>0</v>
      </c>
      <c r="F746" s="1114"/>
      <c r="G746" s="1115" t="s">
        <v>350</v>
      </c>
      <c r="H746" s="1116" t="s">
        <v>15</v>
      </c>
      <c r="I746" s="807"/>
      <c r="J746" s="807"/>
      <c r="K746" s="783"/>
      <c r="L746" s="800"/>
      <c r="M746" s="776"/>
      <c r="N746" s="801"/>
      <c r="O746" s="822"/>
      <c r="P746" s="822"/>
      <c r="Q746" s="822"/>
      <c r="R746" s="822"/>
      <c r="S746" s="822"/>
      <c r="T746" s="822"/>
      <c r="U746" s="822"/>
      <c r="V746" s="822"/>
      <c r="W746" s="822"/>
      <c r="X746" s="822"/>
      <c r="Y746" s="823"/>
      <c r="Z746" s="823"/>
      <c r="AA746" s="823"/>
    </row>
    <row r="747" spans="1:27" x14ac:dyDescent="0.25">
      <c r="A747" s="1035">
        <v>738</v>
      </c>
      <c r="B747" s="1035" t="s">
        <v>57</v>
      </c>
      <c r="C747" s="1036" t="s">
        <v>847</v>
      </c>
      <c r="I747" s="807"/>
      <c r="J747" s="807"/>
      <c r="K747" s="783"/>
      <c r="L747" s="800"/>
      <c r="M747" s="776"/>
      <c r="N747" s="801"/>
      <c r="O747" s="822"/>
      <c r="P747" s="822"/>
      <c r="Q747" s="822"/>
      <c r="R747" s="822"/>
      <c r="S747" s="822"/>
      <c r="T747" s="822"/>
      <c r="U747" s="822"/>
      <c r="V747" s="822"/>
      <c r="W747" s="822"/>
      <c r="X747" s="822"/>
      <c r="Y747" s="823"/>
      <c r="Z747" s="823"/>
      <c r="AA747" s="823"/>
    </row>
    <row r="748" spans="1:27" ht="15.75" thickBot="1" x14ac:dyDescent="0.3">
      <c r="A748" s="1035">
        <v>739</v>
      </c>
      <c r="B748" s="1035" t="s">
        <v>57</v>
      </c>
      <c r="C748" s="1036" t="s">
        <v>847</v>
      </c>
      <c r="D748" s="1117" t="s">
        <v>351</v>
      </c>
      <c r="E748" s="1118" t="s">
        <v>352</v>
      </c>
      <c r="F748" s="1118" t="s">
        <v>353</v>
      </c>
      <c r="G748" s="1118" t="s">
        <v>354</v>
      </c>
      <c r="H748" s="1118" t="s">
        <v>355</v>
      </c>
      <c r="I748" s="1029"/>
      <c r="J748" s="807"/>
      <c r="K748" s="783"/>
      <c r="L748" s="800"/>
      <c r="M748" s="776"/>
      <c r="N748" s="801"/>
      <c r="O748" s="822"/>
      <c r="P748" s="822"/>
      <c r="Q748" s="822"/>
      <c r="R748" s="822"/>
      <c r="S748" s="822"/>
      <c r="T748" s="822"/>
      <c r="U748" s="822"/>
      <c r="V748" s="822"/>
      <c r="W748" s="822"/>
      <c r="X748" s="822"/>
      <c r="Y748" s="823"/>
      <c r="Z748" s="823"/>
      <c r="AA748" s="823"/>
    </row>
    <row r="749" spans="1:27" ht="15.75" thickBot="1" x14ac:dyDescent="0.3">
      <c r="A749" s="1035">
        <v>740</v>
      </c>
      <c r="B749" s="1035" t="s">
        <v>57</v>
      </c>
      <c r="C749" s="1036" t="s">
        <v>847</v>
      </c>
      <c r="D749" s="1142" t="s">
        <v>849</v>
      </c>
      <c r="E749" s="1098" t="s">
        <v>360</v>
      </c>
      <c r="F749" s="1143">
        <f>E745</f>
        <v>0</v>
      </c>
      <c r="G749" s="1143">
        <f>IF(E749=AIS_Yes,F749,0)</f>
        <v>0</v>
      </c>
      <c r="H749" s="1327" t="s">
        <v>16</v>
      </c>
      <c r="I749" s="1029"/>
      <c r="J749" s="807"/>
      <c r="K749" s="783"/>
      <c r="L749" s="800"/>
      <c r="M749" s="776"/>
      <c r="N749" s="801"/>
      <c r="O749" s="102" t="s">
        <v>1273</v>
      </c>
      <c r="P749" s="822"/>
      <c r="Q749" s="822"/>
      <c r="R749" s="822"/>
      <c r="S749" s="822"/>
      <c r="T749" s="822"/>
      <c r="U749" s="822" t="str">
        <f>$T$4</f>
        <v>No</v>
      </c>
      <c r="V749" s="822"/>
      <c r="W749" s="822"/>
      <c r="X749" s="822"/>
      <c r="Y749" s="823"/>
      <c r="Z749" s="823"/>
      <c r="AA749" s="823"/>
    </row>
    <row r="750" spans="1:27" x14ac:dyDescent="0.25">
      <c r="A750" s="1035">
        <v>741</v>
      </c>
      <c r="B750" s="1035" t="s">
        <v>57</v>
      </c>
      <c r="C750" s="1036" t="s">
        <v>847</v>
      </c>
      <c r="E750" s="1144"/>
      <c r="I750" s="1029"/>
      <c r="J750" s="807"/>
      <c r="K750" s="783"/>
      <c r="L750" s="800"/>
      <c r="M750" s="776"/>
      <c r="N750" s="801"/>
      <c r="O750" s="822"/>
      <c r="P750" s="822"/>
      <c r="Q750" s="822"/>
      <c r="R750" s="822"/>
      <c r="S750" s="822"/>
      <c r="T750" s="822"/>
      <c r="U750" s="822"/>
      <c r="V750" s="822"/>
      <c r="W750" s="822"/>
      <c r="X750" s="822"/>
      <c r="Y750" s="823"/>
      <c r="Z750" s="823"/>
      <c r="AA750" s="823"/>
    </row>
    <row r="751" spans="1:27" x14ac:dyDescent="0.25">
      <c r="A751" s="1035">
        <v>742</v>
      </c>
      <c r="B751" s="1035" t="s">
        <v>57</v>
      </c>
      <c r="C751" s="1036" t="s">
        <v>847</v>
      </c>
      <c r="D751" s="1127" t="s">
        <v>356</v>
      </c>
      <c r="E751" s="1128">
        <f>G749</f>
        <v>0</v>
      </c>
      <c r="I751" s="1029"/>
      <c r="J751" s="807"/>
      <c r="K751" s="783"/>
      <c r="L751" s="800"/>
      <c r="M751" s="776"/>
      <c r="N751" s="801"/>
      <c r="O751" s="822"/>
      <c r="P751" s="822"/>
      <c r="Q751" s="822"/>
      <c r="R751" s="822"/>
      <c r="S751" s="822"/>
      <c r="T751" s="822"/>
      <c r="U751" s="822"/>
      <c r="V751" s="822"/>
      <c r="W751" s="822"/>
      <c r="X751" s="822"/>
      <c r="Y751" s="823"/>
      <c r="Z751" s="823"/>
      <c r="AA751" s="823"/>
    </row>
    <row r="752" spans="1:27" x14ac:dyDescent="0.25">
      <c r="A752" s="1035">
        <v>743</v>
      </c>
      <c r="B752" s="1035" t="s">
        <v>57</v>
      </c>
      <c r="C752" s="1036" t="s">
        <v>847</v>
      </c>
      <c r="D752" s="1129" t="s">
        <v>86</v>
      </c>
      <c r="E752" s="1130">
        <f>Tra06_05</f>
        <v>0</v>
      </c>
      <c r="I752" s="1029"/>
      <c r="J752" s="807"/>
      <c r="K752" s="783"/>
      <c r="L752" s="800"/>
      <c r="M752" s="776"/>
      <c r="N752" s="801"/>
      <c r="O752" s="822"/>
      <c r="P752" s="822"/>
      <c r="Q752" s="822"/>
      <c r="R752" s="822"/>
      <c r="S752" s="822"/>
      <c r="T752" s="822"/>
      <c r="U752" s="822"/>
      <c r="V752" s="822"/>
      <c r="W752" s="822"/>
      <c r="X752" s="822"/>
      <c r="Y752" s="823"/>
      <c r="Z752" s="823"/>
      <c r="AA752" s="823"/>
    </row>
    <row r="753" spans="1:27" x14ac:dyDescent="0.25">
      <c r="A753" s="1035">
        <v>744</v>
      </c>
      <c r="B753" s="1035" t="s">
        <v>57</v>
      </c>
      <c r="C753" s="1036" t="s">
        <v>847</v>
      </c>
      <c r="D753" s="1131" t="s">
        <v>357</v>
      </c>
      <c r="E753" s="1128" t="s">
        <v>16</v>
      </c>
      <c r="I753" s="1029"/>
      <c r="J753" s="807"/>
      <c r="K753" s="783"/>
      <c r="L753" s="800"/>
      <c r="M753" s="776"/>
      <c r="N753" s="801"/>
      <c r="O753" s="822"/>
      <c r="P753" s="822"/>
      <c r="Q753" s="822"/>
      <c r="R753" s="822"/>
      <c r="S753" s="822"/>
      <c r="T753" s="822"/>
      <c r="U753" s="822"/>
      <c r="V753" s="822"/>
      <c r="W753" s="822"/>
      <c r="X753" s="822"/>
      <c r="Y753" s="823"/>
      <c r="Z753" s="823"/>
      <c r="AA753" s="823"/>
    </row>
    <row r="754" spans="1:27" x14ac:dyDescent="0.25">
      <c r="A754" s="1035">
        <v>745</v>
      </c>
      <c r="B754" s="1035" t="s">
        <v>57</v>
      </c>
      <c r="C754" s="1036" t="s">
        <v>847</v>
      </c>
      <c r="D754" s="1132" t="s">
        <v>55</v>
      </c>
      <c r="E754" s="1133" t="s">
        <v>16</v>
      </c>
      <c r="F754" s="1134"/>
      <c r="G754" s="1135"/>
      <c r="I754" s="1029"/>
      <c r="J754" s="807"/>
      <c r="K754" s="783"/>
      <c r="L754" s="800"/>
      <c r="M754" s="776"/>
      <c r="N754" s="801"/>
      <c r="O754" s="822"/>
      <c r="P754" s="822"/>
      <c r="Q754" s="822"/>
      <c r="R754" s="822"/>
      <c r="S754" s="822"/>
      <c r="T754" s="822"/>
      <c r="U754" s="822"/>
      <c r="V754" s="822"/>
      <c r="W754" s="822"/>
      <c r="X754" s="822"/>
      <c r="Y754" s="823"/>
      <c r="Z754" s="823"/>
      <c r="AA754" s="823"/>
    </row>
    <row r="755" spans="1:27" x14ac:dyDescent="0.25">
      <c r="A755" s="1035">
        <v>746</v>
      </c>
      <c r="B755" s="1035" t="s">
        <v>57</v>
      </c>
      <c r="C755" s="1036" t="s">
        <v>847</v>
      </c>
      <c r="I755" s="1029"/>
      <c r="J755" s="807"/>
      <c r="K755" s="783"/>
      <c r="L755" s="800"/>
      <c r="M755" s="776"/>
      <c r="N755" s="801"/>
      <c r="O755" s="822"/>
      <c r="P755" s="822"/>
      <c r="Q755" s="822"/>
      <c r="R755" s="822"/>
      <c r="S755" s="822"/>
      <c r="T755" s="822"/>
      <c r="U755" s="822"/>
      <c r="V755" s="822"/>
      <c r="W755" s="822"/>
      <c r="X755" s="822"/>
      <c r="Y755" s="823"/>
      <c r="Z755" s="823"/>
      <c r="AA755" s="823"/>
    </row>
    <row r="756" spans="1:27" x14ac:dyDescent="0.25">
      <c r="A756" s="1035">
        <v>747</v>
      </c>
      <c r="B756" s="1035" t="s">
        <v>57</v>
      </c>
      <c r="C756" s="1036" t="s">
        <v>847</v>
      </c>
      <c r="D756" s="1136" t="s">
        <v>359</v>
      </c>
      <c r="E756" s="1136" t="s">
        <v>977</v>
      </c>
      <c r="F756" s="1136" t="str">
        <f>HLOOKUP(C756,'Assessment References'!$H$512:$BG$513,2,FALSE)</f>
        <v/>
      </c>
      <c r="G756" s="1137"/>
      <c r="H756" s="1138"/>
      <c r="I756" s="1029"/>
      <c r="J756" s="807"/>
      <c r="K756" s="783"/>
      <c r="L756" s="800"/>
      <c r="M756" s="776"/>
      <c r="N756" s="801"/>
      <c r="O756" s="822"/>
      <c r="P756" s="822"/>
      <c r="Q756" s="822"/>
      <c r="R756" s="822"/>
      <c r="S756" s="822"/>
      <c r="T756" s="822"/>
      <c r="U756" s="822"/>
      <c r="V756" s="822"/>
      <c r="W756" s="822"/>
      <c r="X756" s="822"/>
      <c r="Y756" s="823"/>
      <c r="Z756" s="823"/>
      <c r="AA756" s="823"/>
    </row>
    <row r="757" spans="1:27" x14ac:dyDescent="0.25">
      <c r="A757" s="1035">
        <v>748</v>
      </c>
      <c r="B757" s="1035" t="s">
        <v>57</v>
      </c>
      <c r="C757" s="1036" t="s">
        <v>847</v>
      </c>
      <c r="D757" s="1363"/>
      <c r="E757" s="1352"/>
      <c r="F757" s="1352"/>
      <c r="G757" s="1352"/>
      <c r="H757" s="1353"/>
      <c r="I757" s="1029"/>
      <c r="J757" s="807"/>
      <c r="K757" s="783"/>
      <c r="L757" s="800"/>
      <c r="M757" s="776"/>
      <c r="N757" s="801"/>
      <c r="O757" s="822"/>
      <c r="P757" s="822"/>
      <c r="Q757" s="822"/>
      <c r="R757" s="822"/>
      <c r="S757" s="822"/>
      <c r="T757" s="822"/>
      <c r="U757" s="822"/>
      <c r="V757" s="822"/>
      <c r="W757" s="822"/>
      <c r="X757" s="822"/>
      <c r="Y757" s="823"/>
      <c r="Z757" s="823"/>
      <c r="AA757" s="823"/>
    </row>
    <row r="758" spans="1:27" x14ac:dyDescent="0.25">
      <c r="A758" s="1035">
        <v>749</v>
      </c>
      <c r="B758" s="1035" t="s">
        <v>57</v>
      </c>
      <c r="C758" s="1036" t="s">
        <v>847</v>
      </c>
      <c r="D758" s="1354"/>
      <c r="E758" s="1355"/>
      <c r="F758" s="1355"/>
      <c r="G758" s="1355"/>
      <c r="H758" s="1356"/>
      <c r="I758" s="1029"/>
      <c r="J758" s="807"/>
      <c r="K758" s="783"/>
      <c r="L758" s="800"/>
      <c r="M758" s="776"/>
      <c r="N758" s="801"/>
      <c r="O758" s="822"/>
      <c r="P758" s="822"/>
      <c r="Q758" s="822"/>
      <c r="R758" s="822"/>
      <c r="S758" s="822"/>
      <c r="T758" s="822"/>
      <c r="U758" s="822"/>
      <c r="V758" s="822"/>
      <c r="W758" s="822"/>
      <c r="X758" s="822"/>
      <c r="Y758" s="823"/>
      <c r="Z758" s="823"/>
      <c r="AA758" s="823"/>
    </row>
    <row r="759" spans="1:27" x14ac:dyDescent="0.25">
      <c r="A759" s="1035">
        <v>750</v>
      </c>
      <c r="B759" s="1035" t="s">
        <v>57</v>
      </c>
      <c r="C759" s="1036" t="s">
        <v>847</v>
      </c>
      <c r="D759" s="1354"/>
      <c r="E759" s="1355"/>
      <c r="F759" s="1355"/>
      <c r="G759" s="1355"/>
      <c r="H759" s="1356"/>
      <c r="I759" s="1029"/>
      <c r="J759" s="807"/>
      <c r="K759" s="783"/>
      <c r="L759" s="800"/>
      <c r="M759" s="776"/>
      <c r="N759" s="801"/>
      <c r="O759" s="822"/>
      <c r="P759" s="822"/>
      <c r="Q759" s="822"/>
      <c r="R759" s="822"/>
      <c r="S759" s="822"/>
      <c r="T759" s="822"/>
      <c r="U759" s="822"/>
      <c r="V759" s="822"/>
      <c r="W759" s="822"/>
      <c r="X759" s="822"/>
      <c r="Y759" s="823"/>
      <c r="Z759" s="823"/>
      <c r="AA759" s="823"/>
    </row>
    <row r="760" spans="1:27" x14ac:dyDescent="0.25">
      <c r="A760" s="1035">
        <v>751</v>
      </c>
      <c r="B760" s="1035" t="s">
        <v>57</v>
      </c>
      <c r="C760" s="1036" t="s">
        <v>847</v>
      </c>
      <c r="D760" s="1364"/>
      <c r="E760" s="1358"/>
      <c r="F760" s="1358"/>
      <c r="G760" s="1358"/>
      <c r="H760" s="1359"/>
      <c r="I760" s="1029"/>
      <c r="J760" s="807"/>
      <c r="K760" s="783"/>
      <c r="L760" s="800"/>
      <c r="M760" s="776"/>
      <c r="N760" s="801"/>
      <c r="O760" s="822"/>
      <c r="P760" s="822"/>
      <c r="Q760" s="822"/>
      <c r="R760" s="822"/>
      <c r="S760" s="822"/>
      <c r="T760" s="822"/>
      <c r="U760" s="822"/>
      <c r="V760" s="822"/>
      <c r="W760" s="822"/>
      <c r="X760" s="822"/>
      <c r="Y760" s="823"/>
      <c r="Z760" s="823"/>
      <c r="AA760" s="823"/>
    </row>
    <row r="761" spans="1:27" x14ac:dyDescent="0.25">
      <c r="A761" s="1035">
        <v>752</v>
      </c>
      <c r="B761" s="1035" t="s">
        <v>57</v>
      </c>
      <c r="C761" s="1036" t="s">
        <v>847</v>
      </c>
      <c r="D761" s="1364"/>
      <c r="E761" s="1358"/>
      <c r="F761" s="1358"/>
      <c r="G761" s="1358"/>
      <c r="H761" s="1359"/>
      <c r="I761" s="1029"/>
      <c r="J761" s="807"/>
      <c r="K761" s="783"/>
      <c r="L761" s="800"/>
      <c r="M761" s="776"/>
      <c r="N761" s="801"/>
      <c r="O761" s="822"/>
      <c r="P761" s="822"/>
      <c r="Q761" s="822"/>
      <c r="R761" s="822"/>
      <c r="S761" s="822"/>
      <c r="T761" s="822"/>
      <c r="U761" s="822"/>
      <c r="V761" s="822"/>
      <c r="W761" s="822"/>
      <c r="X761" s="822"/>
      <c r="Y761" s="823"/>
      <c r="Z761" s="823"/>
      <c r="AA761" s="823"/>
    </row>
    <row r="762" spans="1:27" x14ac:dyDescent="0.25">
      <c r="A762" s="1035">
        <v>753</v>
      </c>
      <c r="B762" s="1035" t="s">
        <v>57</v>
      </c>
      <c r="C762" s="1036" t="s">
        <v>847</v>
      </c>
      <c r="D762" s="1360"/>
      <c r="E762" s="1361"/>
      <c r="F762" s="1361"/>
      <c r="G762" s="1361"/>
      <c r="H762" s="1362"/>
      <c r="I762" s="1029"/>
      <c r="J762" s="807"/>
      <c r="K762" s="783"/>
      <c r="L762" s="800"/>
      <c r="M762" s="776"/>
      <c r="N762" s="801"/>
      <c r="O762" s="822"/>
      <c r="P762" s="822"/>
      <c r="Q762" s="822"/>
      <c r="R762" s="822"/>
      <c r="S762" s="822"/>
      <c r="T762" s="822"/>
      <c r="U762" s="822"/>
      <c r="V762" s="822"/>
      <c r="W762" s="822"/>
      <c r="X762" s="822"/>
      <c r="Y762" s="823"/>
      <c r="Z762" s="823"/>
      <c r="AA762" s="823"/>
    </row>
    <row r="763" spans="1:27" x14ac:dyDescent="0.25">
      <c r="A763" s="1035">
        <v>754</v>
      </c>
      <c r="B763" s="1035" t="s">
        <v>57</v>
      </c>
      <c r="C763" s="1036" t="s">
        <v>847</v>
      </c>
      <c r="I763" s="1029"/>
      <c r="J763" s="807"/>
      <c r="K763" s="783"/>
      <c r="L763" s="800"/>
      <c r="M763" s="776"/>
      <c r="N763" s="801"/>
      <c r="O763" s="822"/>
      <c r="P763" s="822"/>
      <c r="Q763" s="822"/>
      <c r="R763" s="822"/>
      <c r="S763" s="822"/>
      <c r="T763" s="822"/>
      <c r="U763" s="822"/>
      <c r="V763" s="822"/>
      <c r="W763" s="822"/>
      <c r="X763" s="822"/>
      <c r="Y763" s="823"/>
      <c r="Z763" s="823"/>
      <c r="AA763" s="823"/>
    </row>
    <row r="764" spans="1:27" ht="18.75" x14ac:dyDescent="0.3">
      <c r="A764" s="1041">
        <v>755</v>
      </c>
      <c r="B764" s="1032" t="s">
        <v>58</v>
      </c>
      <c r="C764" s="1033"/>
      <c r="D764" s="1154"/>
      <c r="E764" s="1154"/>
      <c r="F764" s="1154"/>
      <c r="G764" s="1154"/>
      <c r="H764" s="1155"/>
      <c r="I764" s="1029"/>
      <c r="J764" s="807"/>
      <c r="K764" s="783"/>
      <c r="L764" s="800"/>
      <c r="M764" s="776"/>
      <c r="N764" s="801"/>
      <c r="O764" s="822"/>
      <c r="P764" s="822"/>
      <c r="Q764" s="822"/>
      <c r="R764" s="822"/>
      <c r="S764" s="822"/>
      <c r="T764" s="822"/>
      <c r="U764" s="822"/>
      <c r="V764" s="822"/>
      <c r="W764" s="822"/>
      <c r="X764" s="822"/>
      <c r="Y764" s="823"/>
      <c r="Z764" s="823"/>
      <c r="AA764" s="823"/>
    </row>
    <row r="765" spans="1:27" ht="15.75" thickBot="1" x14ac:dyDescent="0.3">
      <c r="A765" s="1035">
        <v>756</v>
      </c>
      <c r="B765" s="1035" t="s">
        <v>58</v>
      </c>
      <c r="C765" s="1029"/>
      <c r="I765" s="1029"/>
      <c r="J765" s="807"/>
      <c r="K765" s="783"/>
      <c r="L765" s="800"/>
      <c r="M765" s="776"/>
      <c r="N765" s="801"/>
      <c r="O765" s="822"/>
      <c r="P765" s="822"/>
      <c r="Q765" s="822"/>
      <c r="R765" s="822"/>
      <c r="S765" s="822"/>
      <c r="T765" s="822"/>
      <c r="U765" s="822"/>
      <c r="V765" s="822"/>
      <c r="W765" s="822"/>
      <c r="X765" s="822"/>
      <c r="Y765" s="823"/>
      <c r="Z765" s="823"/>
      <c r="AA765" s="823"/>
    </row>
    <row r="766" spans="1:27" ht="15.75" thickBot="1" x14ac:dyDescent="0.3">
      <c r="A766" s="1037">
        <v>757</v>
      </c>
      <c r="B766" s="1037" t="s">
        <v>58</v>
      </c>
      <c r="C766" s="802" t="s">
        <v>185</v>
      </c>
      <c r="D766" s="1103" t="s">
        <v>909</v>
      </c>
      <c r="E766" s="1104"/>
      <c r="F766" s="1104"/>
      <c r="G766" s="1105"/>
      <c r="H766" s="1105"/>
      <c r="I766" s="1029"/>
      <c r="K766" s="783"/>
      <c r="L766" s="809" t="str">
        <f>C766</f>
        <v>Wat 01</v>
      </c>
      <c r="M766" s="776"/>
      <c r="N766" s="801"/>
      <c r="O766" s="822"/>
      <c r="P766" s="822"/>
      <c r="Q766" s="822"/>
      <c r="R766" s="822"/>
      <c r="S766" s="822"/>
      <c r="T766" s="822"/>
      <c r="U766" s="822"/>
      <c r="V766" s="822"/>
      <c r="W766" s="822"/>
      <c r="X766" s="822"/>
      <c r="Y766" s="823"/>
      <c r="Z766" s="823"/>
      <c r="AA766" s="823"/>
    </row>
    <row r="767" spans="1:27" ht="15.75" thickBot="1" x14ac:dyDescent="0.3">
      <c r="A767" s="1035">
        <v>758</v>
      </c>
      <c r="B767" s="1035" t="s">
        <v>58</v>
      </c>
      <c r="C767" s="1035" t="s">
        <v>185</v>
      </c>
      <c r="D767" s="1107" t="s">
        <v>17</v>
      </c>
      <c r="E767" s="1108">
        <f>Wat01_credits</f>
        <v>5</v>
      </c>
      <c r="F767" s="1109"/>
      <c r="G767" s="1110" t="s">
        <v>85</v>
      </c>
      <c r="H767" s="1111">
        <f>Wat01_14</f>
        <v>3.125E-2</v>
      </c>
      <c r="I767" s="1029"/>
      <c r="K767" s="783"/>
      <c r="L767" s="810" t="s">
        <v>360</v>
      </c>
      <c r="M767" s="776"/>
      <c r="N767" s="801"/>
      <c r="O767" s="822"/>
      <c r="P767" s="822"/>
      <c r="Q767" s="822"/>
      <c r="R767" s="822"/>
      <c r="S767" s="822"/>
      <c r="T767" s="822"/>
      <c r="U767" s="822"/>
      <c r="V767" s="822"/>
      <c r="W767" s="822"/>
      <c r="X767" s="822"/>
      <c r="Y767" s="823"/>
      <c r="Z767" s="823"/>
      <c r="AA767" s="823"/>
    </row>
    <row r="768" spans="1:27" x14ac:dyDescent="0.25">
      <c r="A768" s="1035">
        <v>759</v>
      </c>
      <c r="B768" s="1035" t="s">
        <v>58</v>
      </c>
      <c r="C768" s="1035" t="s">
        <v>185</v>
      </c>
      <c r="D768" s="1112" t="s">
        <v>349</v>
      </c>
      <c r="E768" s="1113">
        <f>Inn04_credits</f>
        <v>1</v>
      </c>
      <c r="F768" s="1114"/>
      <c r="G768" s="1115" t="s">
        <v>350</v>
      </c>
      <c r="H768" s="1116" t="s">
        <v>14</v>
      </c>
      <c r="I768" s="1029"/>
      <c r="K768" s="783"/>
      <c r="L768" s="810" t="s">
        <v>418</v>
      </c>
      <c r="M768" s="776"/>
      <c r="N768" s="801"/>
      <c r="O768" s="822"/>
      <c r="P768" s="822"/>
      <c r="Q768" s="822"/>
      <c r="R768" s="822"/>
      <c r="S768" s="822"/>
      <c r="T768" s="822"/>
      <c r="U768" s="822"/>
      <c r="V768" s="822"/>
      <c r="W768" s="822"/>
      <c r="X768" s="822"/>
      <c r="Y768" s="823"/>
      <c r="Z768" s="823"/>
      <c r="AA768" s="823"/>
    </row>
    <row r="769" spans="1:33" ht="15.75" thickBot="1" x14ac:dyDescent="0.3">
      <c r="A769" s="1035">
        <v>760</v>
      </c>
      <c r="B769" s="1035" t="s">
        <v>58</v>
      </c>
      <c r="C769" s="1035" t="s">
        <v>185</v>
      </c>
      <c r="I769" s="1029"/>
      <c r="K769" s="783"/>
      <c r="L769" s="812" t="s">
        <v>544</v>
      </c>
      <c r="M769" s="776"/>
      <c r="N769" s="801"/>
      <c r="O769" s="822"/>
      <c r="P769" s="822"/>
      <c r="Q769" s="822"/>
      <c r="R769" s="822"/>
      <c r="S769" s="822"/>
      <c r="T769" s="822"/>
      <c r="U769" s="822"/>
      <c r="V769" s="822"/>
      <c r="W769" s="822"/>
      <c r="X769" s="822"/>
      <c r="Y769" s="823"/>
      <c r="Z769" s="823"/>
      <c r="AA769" s="823"/>
    </row>
    <row r="770" spans="1:33" ht="15.75" thickBot="1" x14ac:dyDescent="0.3">
      <c r="A770" s="1035">
        <v>761</v>
      </c>
      <c r="B770" s="1035" t="s">
        <v>58</v>
      </c>
      <c r="C770" s="1035" t="s">
        <v>185</v>
      </c>
      <c r="D770" s="1117" t="s">
        <v>351</v>
      </c>
      <c r="E770" s="1118" t="s">
        <v>352</v>
      </c>
      <c r="H770" s="1118" t="s">
        <v>355</v>
      </c>
      <c r="I770" s="1029"/>
      <c r="K770" s="783"/>
      <c r="L770" s="815">
        <f>IF(E776=Options!Q3,0,IF('Assessment Issue Scoring'!E776&lt;0.125,0,IF('Assessment Issue Scoring'!E776&lt;0.25,1,IF('Assessment Issue Scoring'!E776&lt;0.4,2,IF('Assessment Issue Scoring'!E776&lt;0.5,3,IF('Assessment Issue Scoring'!E776&lt;0.55,4,5))))))</f>
        <v>5</v>
      </c>
      <c r="M770" s="900"/>
      <c r="N770" s="801"/>
      <c r="O770" s="822"/>
      <c r="P770" s="822"/>
      <c r="Q770" s="822"/>
      <c r="R770" s="822"/>
      <c r="S770" s="822"/>
      <c r="T770" s="822"/>
      <c r="U770" s="822"/>
      <c r="V770" s="822"/>
      <c r="W770" s="822"/>
      <c r="X770" s="822"/>
      <c r="Y770" s="823"/>
      <c r="Z770" s="823"/>
      <c r="AA770" s="823"/>
    </row>
    <row r="771" spans="1:33" ht="15.75" thickBot="1" x14ac:dyDescent="0.3">
      <c r="A771" s="1035">
        <v>762</v>
      </c>
      <c r="B771" s="1035" t="s">
        <v>58</v>
      </c>
      <c r="C771" s="1035" t="s">
        <v>185</v>
      </c>
      <c r="D771" s="1142" t="s">
        <v>417</v>
      </c>
      <c r="E771" s="1184" t="s">
        <v>360</v>
      </c>
      <c r="H771" s="1327" t="s">
        <v>16</v>
      </c>
      <c r="I771" s="1029"/>
      <c r="K771" s="783"/>
      <c r="L771" s="815">
        <f>IF(E776=Options!Q3,0,IF('Assessment Issue Scoring'!E776&gt;0.64,E768,0))</f>
        <v>1</v>
      </c>
      <c r="M771" s="776"/>
      <c r="N771" s="801"/>
      <c r="O771" s="1266">
        <v>1</v>
      </c>
      <c r="P771" s="1266">
        <v>0</v>
      </c>
      <c r="Q771" s="1267">
        <v>1</v>
      </c>
      <c r="R771" s="1258" t="str">
        <f t="shared" ref="R771" si="60">IF($T$4=AIS_Yes,O771,AIS_NA)</f>
        <v>N/A</v>
      </c>
      <c r="S771" s="1259" t="str">
        <f t="shared" ref="S771" si="61">IF($T$4=AIS_Yes,P771,AIS_NA)</f>
        <v>N/A</v>
      </c>
      <c r="T771" s="1074" t="str">
        <f t="shared" ref="T771" si="62">IF($T$4=AIS_Yes,Q771,AIS_NA)</f>
        <v>N/A</v>
      </c>
      <c r="U771" s="1265" t="str">
        <f>IF(AND($T$4=AIS_Yes,OR(R771&lt;&gt;AIS_NA,S771&lt;&gt;AIS_NA,T771&lt;&gt;AIS_NA)),AIS_Yes,AIS_No)</f>
        <v>No</v>
      </c>
      <c r="V771" s="1258" t="str">
        <f>AIS_option01</f>
        <v>N/A</v>
      </c>
      <c r="W771" s="1259" t="str">
        <f>AIS_option02a</f>
        <v>N/A</v>
      </c>
      <c r="X771" s="1272" t="str">
        <f>AIS_option03</f>
        <v>N/A</v>
      </c>
      <c r="Y771" s="1273"/>
      <c r="Z771" s="1282" t="str">
        <f>AIS_NA</f>
        <v>N/A</v>
      </c>
      <c r="AA771" s="1274" t="str">
        <f>IF(U771=AIS_Yes,V771,AIS_NA)</f>
        <v>N/A</v>
      </c>
      <c r="AB771" s="1274" t="str">
        <f>IF(U771=AIS_Yes,W771,AIS_NA)</f>
        <v>N/A</v>
      </c>
      <c r="AC771" s="1275" t="str">
        <f>IF(U771=AIS_Yes,X771,AIS_NA)</f>
        <v>N/A</v>
      </c>
      <c r="AD771" s="1276" t="str">
        <f>C771</f>
        <v>Wat 01</v>
      </c>
      <c r="AE771" s="1262" t="str">
        <f>D766</f>
        <v>Water consumption</v>
      </c>
      <c r="AF771" s="1263" t="str">
        <f>H771</f>
        <v>N/A</v>
      </c>
      <c r="AG771" s="768">
        <f>IF(U771=AIS_No,1,IF(H771=AA771,R771,IF(H771=AB771,S771,IF(H771=AC771,T771,1))))</f>
        <v>1</v>
      </c>
    </row>
    <row r="772" spans="1:33" ht="15.75" thickBot="1" x14ac:dyDescent="0.3">
      <c r="A772" s="1035">
        <v>763</v>
      </c>
      <c r="B772" s="1035" t="s">
        <v>58</v>
      </c>
      <c r="C772" s="1035" t="s">
        <v>185</v>
      </c>
      <c r="I772" s="1029"/>
      <c r="K772" s="783"/>
      <c r="L772" s="819"/>
      <c r="M772" s="776"/>
      <c r="N772" s="801"/>
      <c r="O772" s="822"/>
      <c r="P772" s="822"/>
      <c r="Q772" s="822"/>
      <c r="R772" s="822"/>
      <c r="S772" s="822"/>
      <c r="T772" s="822"/>
      <c r="U772" s="822"/>
      <c r="V772" s="822"/>
      <c r="W772" s="822"/>
      <c r="X772" s="822"/>
      <c r="Y772" s="823"/>
      <c r="Z772" s="823"/>
      <c r="AA772" s="823"/>
    </row>
    <row r="773" spans="1:33" ht="15.75" thickBot="1" x14ac:dyDescent="0.3">
      <c r="A773" s="1035">
        <v>764</v>
      </c>
      <c r="B773" s="1035" t="s">
        <v>58</v>
      </c>
      <c r="C773" s="1035" t="s">
        <v>185</v>
      </c>
      <c r="D773" s="1117" t="s">
        <v>419</v>
      </c>
      <c r="E773" s="1118"/>
      <c r="I773" s="1029"/>
      <c r="K773" s="783"/>
      <c r="L773" s="810" t="s">
        <v>360</v>
      </c>
      <c r="M773" s="815">
        <v>0</v>
      </c>
      <c r="N773" s="830"/>
      <c r="O773" s="822"/>
      <c r="P773" s="822"/>
      <c r="Q773" s="822"/>
      <c r="R773" s="822"/>
      <c r="S773" s="822"/>
      <c r="T773" s="822"/>
      <c r="U773" s="822"/>
      <c r="V773" s="822"/>
      <c r="W773" s="822"/>
      <c r="X773" s="822"/>
      <c r="Y773" s="823"/>
      <c r="Z773" s="823"/>
      <c r="AA773" s="823"/>
    </row>
    <row r="774" spans="1:33" x14ac:dyDescent="0.25">
      <c r="A774" s="1035">
        <v>765</v>
      </c>
      <c r="B774" s="1035" t="s">
        <v>58</v>
      </c>
      <c r="C774" s="1035" t="s">
        <v>185</v>
      </c>
      <c r="D774" s="1119" t="s">
        <v>1059</v>
      </c>
      <c r="E774" s="1093"/>
      <c r="F774" s="768" t="s">
        <v>420</v>
      </c>
      <c r="I774" s="1029"/>
      <c r="K774" s="783"/>
      <c r="L774" s="901" t="s">
        <v>1064</v>
      </c>
      <c r="M774" s="810">
        <f>IF(E780=L780,0,IF(E780=L781,0,IF(E780=L782,1,IF(E780=L783,2,0))))</f>
        <v>0</v>
      </c>
      <c r="N774" s="830"/>
      <c r="O774" s="822"/>
      <c r="P774" s="822"/>
      <c r="Q774" s="822"/>
      <c r="R774" s="822"/>
      <c r="S774" s="822"/>
      <c r="T774" s="822"/>
      <c r="U774" s="822"/>
      <c r="V774" s="822"/>
      <c r="W774" s="822"/>
      <c r="X774" s="822"/>
      <c r="Y774" s="823"/>
      <c r="Z774" s="823"/>
      <c r="AA774" s="823"/>
    </row>
    <row r="775" spans="1:33" x14ac:dyDescent="0.25">
      <c r="A775" s="1035">
        <v>766</v>
      </c>
      <c r="B775" s="1035" t="s">
        <v>58</v>
      </c>
      <c r="C775" s="1035" t="s">
        <v>185</v>
      </c>
      <c r="D775" s="1121" t="s">
        <v>421</v>
      </c>
      <c r="E775" s="1091"/>
      <c r="F775" s="768" t="s">
        <v>420</v>
      </c>
      <c r="I775" s="1029"/>
      <c r="K775" s="783"/>
      <c r="L775" s="901" t="s">
        <v>1065</v>
      </c>
      <c r="M775" s="811">
        <f>IF(E780=L780,0,IF(E780=L781,1,IF(E780=L782,2,IF(E780=L783,3,0))))</f>
        <v>0</v>
      </c>
      <c r="N775" s="830"/>
      <c r="O775" s="822"/>
      <c r="P775" s="822"/>
      <c r="Q775" s="822"/>
      <c r="R775" s="822"/>
      <c r="S775" s="822"/>
      <c r="T775" s="822"/>
      <c r="U775" s="822"/>
      <c r="V775" s="822"/>
      <c r="W775" s="822"/>
      <c r="X775" s="822"/>
      <c r="Y775" s="823"/>
      <c r="Z775" s="823"/>
      <c r="AA775" s="823"/>
    </row>
    <row r="776" spans="1:33" ht="15.75" thickBot="1" x14ac:dyDescent="0.3">
      <c r="A776" s="1035">
        <v>768</v>
      </c>
      <c r="B776" s="1035" t="s">
        <v>58</v>
      </c>
      <c r="C776" s="1035" t="s">
        <v>185</v>
      </c>
      <c r="D776" s="1123" t="s">
        <v>742</v>
      </c>
      <c r="E776" s="1185">
        <v>0.71</v>
      </c>
      <c r="F776" s="768" t="s">
        <v>876</v>
      </c>
      <c r="I776" s="1029"/>
      <c r="K776" s="783"/>
      <c r="L776" s="901" t="s">
        <v>1066</v>
      </c>
      <c r="M776" s="811">
        <f>IF(E780=L780,0,IF(E780=L781,2,IF(E780=L782,3,IF(E780=L783,4,0))))</f>
        <v>0</v>
      </c>
      <c r="N776" s="830"/>
      <c r="O776" s="822"/>
      <c r="P776" s="822"/>
      <c r="Q776" s="822"/>
      <c r="R776" s="822"/>
      <c r="S776" s="822"/>
      <c r="T776" s="822"/>
      <c r="U776" s="822"/>
      <c r="V776" s="822"/>
      <c r="W776" s="822"/>
      <c r="X776" s="822"/>
      <c r="Y776" s="823"/>
      <c r="Z776" s="823"/>
      <c r="AA776" s="823"/>
    </row>
    <row r="777" spans="1:33" x14ac:dyDescent="0.25">
      <c r="A777" s="1035">
        <v>769</v>
      </c>
      <c r="B777" s="1035" t="s">
        <v>58</v>
      </c>
      <c r="C777" s="1035" t="s">
        <v>185</v>
      </c>
      <c r="I777" s="1029"/>
      <c r="K777" s="783"/>
      <c r="L777" s="901" t="s">
        <v>1067</v>
      </c>
      <c r="M777" s="811">
        <f>IF(E780=L780,0,IF(E780=L781,3,IF(E780=L782,4,IF(E780=L783,5,0))))</f>
        <v>0</v>
      </c>
      <c r="N777" s="830"/>
      <c r="O777" s="822"/>
      <c r="P777" s="822"/>
      <c r="Q777" s="822"/>
      <c r="R777" s="822"/>
      <c r="S777" s="822"/>
      <c r="T777" s="822"/>
      <c r="U777" s="822"/>
      <c r="V777" s="822"/>
      <c r="W777" s="822"/>
      <c r="X777" s="822"/>
      <c r="Y777" s="823"/>
      <c r="Z777" s="823"/>
      <c r="AA777" s="823"/>
    </row>
    <row r="778" spans="1:33" ht="15.75" thickBot="1" x14ac:dyDescent="0.3">
      <c r="A778" s="1035">
        <v>770</v>
      </c>
      <c r="B778" s="1035"/>
      <c r="C778" s="1035"/>
      <c r="D778" s="1117" t="s">
        <v>1060</v>
      </c>
      <c r="E778" s="1118"/>
      <c r="I778" s="1029"/>
      <c r="K778" s="783"/>
      <c r="L778" s="901" t="s">
        <v>1068</v>
      </c>
      <c r="M778" s="902">
        <f>IF(E780=L780,0,IF(E780=L781,3,IF(E780=L782,4,IF(E780=L783,5,0))))</f>
        <v>0</v>
      </c>
      <c r="N778" s="830"/>
      <c r="O778" s="822"/>
      <c r="R778" s="822"/>
      <c r="S778" s="822"/>
      <c r="T778" s="822"/>
      <c r="U778" s="822"/>
      <c r="V778" s="822"/>
      <c r="W778" s="822"/>
      <c r="X778" s="822"/>
      <c r="Y778" s="823"/>
      <c r="Z778" s="823"/>
      <c r="AA778" s="823"/>
    </row>
    <row r="779" spans="1:33" ht="15.75" thickBot="1" x14ac:dyDescent="0.3">
      <c r="A779" s="1035">
        <v>771</v>
      </c>
      <c r="B779" s="1035"/>
      <c r="C779" s="1035"/>
      <c r="D779" s="1119" t="s">
        <v>1061</v>
      </c>
      <c r="E779" s="1093" t="s">
        <v>1068</v>
      </c>
      <c r="I779" s="1029"/>
      <c r="K779" s="783"/>
      <c r="L779" s="903" t="s">
        <v>1069</v>
      </c>
      <c r="M779" s="812">
        <f>IF(E780=L780,0,IF(E780=L781,4,IF(E780=L782,5,IF(E780=L783,5,0))))</f>
        <v>0</v>
      </c>
      <c r="N779" s="801"/>
      <c r="O779" s="822"/>
      <c r="R779" s="822"/>
      <c r="S779" s="822"/>
      <c r="T779" s="822"/>
      <c r="U779" s="822"/>
      <c r="V779" s="822"/>
      <c r="W779" s="822"/>
      <c r="X779" s="822"/>
      <c r="Y779" s="823"/>
      <c r="Z779" s="823"/>
      <c r="AA779" s="823"/>
    </row>
    <row r="780" spans="1:33" x14ac:dyDescent="0.25">
      <c r="A780" s="1035">
        <v>772</v>
      </c>
      <c r="B780" s="1035"/>
      <c r="C780" s="1035"/>
      <c r="D780" s="1121" t="s">
        <v>1062</v>
      </c>
      <c r="E780" s="1091" t="s">
        <v>360</v>
      </c>
      <c r="I780" s="1029"/>
      <c r="K780" s="783"/>
      <c r="L780" s="810" t="s">
        <v>360</v>
      </c>
      <c r="M780" s="776"/>
      <c r="N780" s="801"/>
      <c r="O780" s="822"/>
      <c r="R780" s="822"/>
      <c r="S780" s="822"/>
      <c r="T780" s="822"/>
      <c r="U780" s="822"/>
      <c r="V780" s="822"/>
      <c r="W780" s="822"/>
      <c r="X780" s="822"/>
      <c r="Y780" s="823"/>
      <c r="Z780" s="823"/>
      <c r="AA780" s="823"/>
    </row>
    <row r="781" spans="1:33" ht="15.75" thickBot="1" x14ac:dyDescent="0.3">
      <c r="A781" s="1035">
        <v>773</v>
      </c>
      <c r="B781" s="1035"/>
      <c r="C781" s="1035"/>
      <c r="D781" s="1123" t="s">
        <v>1063</v>
      </c>
      <c r="E781" s="1185" t="s">
        <v>360</v>
      </c>
      <c r="I781" s="1029"/>
      <c r="K781" s="783"/>
      <c r="L781" s="811" t="s">
        <v>254</v>
      </c>
      <c r="M781" s="776"/>
      <c r="N781" s="801"/>
      <c r="O781" s="822"/>
      <c r="R781" s="822"/>
      <c r="S781" s="822"/>
      <c r="T781" s="822"/>
      <c r="U781" s="822"/>
      <c r="V781" s="822"/>
      <c r="W781" s="822"/>
      <c r="X781" s="822"/>
      <c r="Y781" s="823"/>
      <c r="Z781" s="823"/>
      <c r="AA781" s="823"/>
    </row>
    <row r="782" spans="1:33" x14ac:dyDescent="0.25">
      <c r="A782" s="1035">
        <v>774</v>
      </c>
      <c r="B782" s="1035"/>
      <c r="C782" s="1035"/>
      <c r="I782" s="1029"/>
      <c r="K782" s="783"/>
      <c r="L782" s="811">
        <v>4</v>
      </c>
      <c r="M782" s="776"/>
      <c r="N782" s="801"/>
      <c r="O782" s="822"/>
      <c r="R782" s="822"/>
      <c r="S782" s="822"/>
      <c r="T782" s="822"/>
      <c r="U782" s="822"/>
      <c r="V782" s="822"/>
      <c r="W782" s="822"/>
      <c r="X782" s="822"/>
      <c r="Y782" s="823"/>
      <c r="Z782" s="823"/>
      <c r="AA782" s="823"/>
    </row>
    <row r="783" spans="1:33" ht="15.75" thickBot="1" x14ac:dyDescent="0.3">
      <c r="A783" s="1035">
        <v>775</v>
      </c>
      <c r="B783" s="1035" t="s">
        <v>58</v>
      </c>
      <c r="C783" s="1035" t="s">
        <v>185</v>
      </c>
      <c r="D783" s="1117" t="s">
        <v>423</v>
      </c>
      <c r="E783" s="1118"/>
      <c r="I783" s="1029"/>
      <c r="K783" s="783"/>
      <c r="L783" s="812">
        <v>5</v>
      </c>
      <c r="M783" s="776"/>
      <c r="N783" s="801"/>
      <c r="O783" s="822"/>
      <c r="R783" s="822"/>
      <c r="S783" s="822"/>
      <c r="T783" s="822"/>
      <c r="U783" s="822"/>
      <c r="V783" s="822"/>
      <c r="W783" s="822"/>
      <c r="X783" s="822"/>
      <c r="Y783" s="823"/>
      <c r="Z783" s="823"/>
      <c r="AA783" s="823"/>
    </row>
    <row r="784" spans="1:33" ht="15.75" thickBot="1" x14ac:dyDescent="0.3">
      <c r="A784" s="1035">
        <v>776</v>
      </c>
      <c r="B784" s="1035" t="s">
        <v>58</v>
      </c>
      <c r="C784" s="1035" t="s">
        <v>185</v>
      </c>
      <c r="D784" s="1119" t="s">
        <v>1108</v>
      </c>
      <c r="E784" s="1093">
        <v>1</v>
      </c>
      <c r="F784" s="768" t="s">
        <v>425</v>
      </c>
      <c r="I784" s="1029"/>
      <c r="K784" s="783"/>
      <c r="L784" s="819"/>
      <c r="M784" s="776"/>
      <c r="N784" s="801"/>
      <c r="O784" s="822"/>
      <c r="R784" s="822"/>
      <c r="S784" s="822"/>
      <c r="T784" s="822"/>
      <c r="U784" s="822"/>
      <c r="V784" s="822"/>
      <c r="W784" s="822"/>
      <c r="X784" s="822"/>
      <c r="Y784" s="823"/>
      <c r="Z784" s="823"/>
      <c r="AA784" s="823"/>
    </row>
    <row r="785" spans="1:27" ht="15.75" thickBot="1" x14ac:dyDescent="0.3">
      <c r="A785" s="1035">
        <v>777</v>
      </c>
      <c r="B785" s="1035" t="s">
        <v>58</v>
      </c>
      <c r="C785" s="1035" t="s">
        <v>185</v>
      </c>
      <c r="D785" s="1123" t="s">
        <v>1109</v>
      </c>
      <c r="E785" s="1092">
        <v>1</v>
      </c>
      <c r="F785" s="1186" t="s">
        <v>1070</v>
      </c>
      <c r="I785" s="1029"/>
      <c r="K785" s="783"/>
      <c r="L785" s="815">
        <f>VLOOKUP(E779,L773:M779,2,FALSE)</f>
        <v>0</v>
      </c>
      <c r="N785" s="801"/>
      <c r="O785" s="822"/>
      <c r="P785" s="822"/>
      <c r="Q785" s="822"/>
      <c r="R785" s="822"/>
      <c r="S785" s="822"/>
      <c r="T785" s="822"/>
      <c r="U785" s="822"/>
      <c r="V785" s="822"/>
      <c r="W785" s="822"/>
      <c r="X785" s="822"/>
      <c r="Y785" s="823"/>
      <c r="Z785" s="823"/>
      <c r="AA785" s="823"/>
    </row>
    <row r="786" spans="1:27" x14ac:dyDescent="0.25">
      <c r="A786" s="1035">
        <v>778</v>
      </c>
      <c r="B786" s="1035" t="s">
        <v>58</v>
      </c>
      <c r="C786" s="1035" t="s">
        <v>185</v>
      </c>
      <c r="I786" s="1029"/>
      <c r="K786" s="783"/>
      <c r="L786" s="904">
        <f>IF(AND(L785=5,E781=AIS_Yes),1,0)</f>
        <v>0</v>
      </c>
      <c r="N786" s="801"/>
      <c r="O786" s="822"/>
      <c r="P786" s="822"/>
      <c r="Q786" s="822"/>
      <c r="R786" s="822"/>
      <c r="S786" s="822"/>
      <c r="T786" s="822"/>
      <c r="U786" s="822"/>
      <c r="V786" s="822"/>
      <c r="W786" s="822"/>
      <c r="X786" s="822"/>
      <c r="Y786" s="823"/>
      <c r="Z786" s="823"/>
      <c r="AA786" s="823"/>
    </row>
    <row r="787" spans="1:27" x14ac:dyDescent="0.25">
      <c r="A787" s="1035">
        <v>779</v>
      </c>
      <c r="B787" s="1035" t="s">
        <v>58</v>
      </c>
      <c r="C787" s="1035" t="s">
        <v>185</v>
      </c>
      <c r="D787" s="1127" t="s">
        <v>356</v>
      </c>
      <c r="E787" s="1128">
        <f>IF(E771=L767,0,IF(E771=L768,L770,L785))*IF(U771=AIS_No,1,IF(H771=AA771,R771,IF(H771=AB771,S771,IF(H771=AC771,T771,1))))</f>
        <v>0</v>
      </c>
      <c r="I787" s="1029"/>
      <c r="K787" s="783"/>
      <c r="L787" s="800"/>
      <c r="N787" s="801"/>
      <c r="O787" s="822"/>
      <c r="P787" s="822"/>
      <c r="Q787" s="822"/>
      <c r="R787" s="822"/>
      <c r="S787" s="822"/>
      <c r="T787" s="822"/>
      <c r="U787" s="822"/>
      <c r="V787" s="822"/>
      <c r="W787" s="822"/>
      <c r="X787" s="822"/>
      <c r="Y787" s="823"/>
      <c r="Z787" s="823"/>
      <c r="AA787" s="823"/>
    </row>
    <row r="788" spans="1:27" x14ac:dyDescent="0.25">
      <c r="A788" s="1035">
        <v>780</v>
      </c>
      <c r="B788" s="1035" t="s">
        <v>58</v>
      </c>
      <c r="C788" s="1035" t="s">
        <v>185</v>
      </c>
      <c r="D788" s="1129" t="s">
        <v>86</v>
      </c>
      <c r="E788" s="1130">
        <f>Wat01_15</f>
        <v>0</v>
      </c>
      <c r="I788" s="1029"/>
      <c r="K788" s="783"/>
      <c r="L788" s="800"/>
      <c r="N788" s="801"/>
      <c r="O788" s="822"/>
      <c r="P788" s="822"/>
      <c r="Q788" s="822"/>
      <c r="R788" s="822"/>
      <c r="S788" s="822"/>
      <c r="T788" s="822"/>
      <c r="U788" s="822"/>
      <c r="V788" s="822"/>
      <c r="W788" s="822"/>
      <c r="X788" s="822"/>
      <c r="Y788" s="823"/>
      <c r="Z788" s="823"/>
      <c r="AA788" s="823"/>
    </row>
    <row r="789" spans="1:27" x14ac:dyDescent="0.25">
      <c r="A789" s="1035">
        <v>781</v>
      </c>
      <c r="B789" s="1035" t="s">
        <v>58</v>
      </c>
      <c r="C789" s="1035" t="s">
        <v>185</v>
      </c>
      <c r="D789" s="1131" t="s">
        <v>357</v>
      </c>
      <c r="E789" s="1128">
        <f>IF(E771=L767,0,IF(E771=L768,L771,L786))</f>
        <v>0</v>
      </c>
      <c r="I789" s="1029"/>
      <c r="K789" s="783"/>
      <c r="L789" s="800"/>
      <c r="N789" s="801"/>
      <c r="O789" s="822"/>
      <c r="P789" s="822"/>
      <c r="Q789" s="822"/>
      <c r="R789" s="822"/>
      <c r="S789" s="822"/>
      <c r="T789" s="822"/>
      <c r="U789" s="822"/>
      <c r="V789" s="822"/>
      <c r="W789" s="822"/>
      <c r="X789" s="822"/>
      <c r="Y789" s="823"/>
      <c r="Z789" s="823"/>
      <c r="AA789" s="823"/>
    </row>
    <row r="790" spans="1:27" x14ac:dyDescent="0.25">
      <c r="A790" s="1035">
        <v>782</v>
      </c>
      <c r="B790" s="1035" t="s">
        <v>58</v>
      </c>
      <c r="C790" s="1035" t="s">
        <v>185</v>
      </c>
      <c r="D790" s="1132" t="s">
        <v>55</v>
      </c>
      <c r="E790" s="1149" t="str">
        <f>Wat01_09</f>
        <v>Very Good</v>
      </c>
      <c r="F790" s="1134"/>
      <c r="G790" s="1135"/>
      <c r="I790" s="1029"/>
      <c r="K790" s="783"/>
      <c r="L790" s="800"/>
      <c r="M790" s="776"/>
      <c r="N790" s="801"/>
      <c r="O790" s="822"/>
      <c r="P790" s="822"/>
      <c r="Q790" s="822"/>
      <c r="R790" s="822"/>
      <c r="S790" s="822"/>
      <c r="T790" s="822"/>
      <c r="U790" s="822"/>
      <c r="V790" s="822"/>
      <c r="W790" s="822"/>
      <c r="X790" s="822"/>
      <c r="Y790" s="823"/>
      <c r="Z790" s="823"/>
      <c r="AA790" s="823"/>
    </row>
    <row r="791" spans="1:27" x14ac:dyDescent="0.25">
      <c r="A791" s="1035">
        <v>783</v>
      </c>
      <c r="B791" s="1035" t="s">
        <v>58</v>
      </c>
      <c r="C791" s="1035" t="s">
        <v>185</v>
      </c>
      <c r="I791" s="1029"/>
      <c r="K791" s="783"/>
      <c r="L791" s="800"/>
      <c r="M791" s="776"/>
      <c r="N791" s="801"/>
      <c r="O791" s="822"/>
      <c r="P791" s="822"/>
      <c r="Q791" s="822"/>
      <c r="R791" s="822"/>
      <c r="S791" s="822"/>
      <c r="T791" s="822"/>
      <c r="U791" s="822"/>
      <c r="V791" s="822"/>
      <c r="W791" s="822"/>
      <c r="X791" s="822"/>
      <c r="Y791" s="823"/>
      <c r="Z791" s="823"/>
      <c r="AA791" s="823"/>
    </row>
    <row r="792" spans="1:27" x14ac:dyDescent="0.25">
      <c r="A792" s="1035">
        <v>784</v>
      </c>
      <c r="B792" s="1035" t="s">
        <v>58</v>
      </c>
      <c r="C792" s="1035" t="s">
        <v>185</v>
      </c>
      <c r="D792" s="1136" t="s">
        <v>359</v>
      </c>
      <c r="E792" s="1136" t="s">
        <v>977</v>
      </c>
      <c r="F792" s="1136" t="str">
        <f>HLOOKUP(C792,'Assessment References'!$H$512:$BG$513,2,FALSE)</f>
        <v/>
      </c>
      <c r="G792" s="1137"/>
      <c r="H792" s="1138"/>
      <c r="I792" s="1029"/>
      <c r="K792" s="783"/>
      <c r="L792" s="800"/>
      <c r="M792" s="776"/>
      <c r="N792" s="801"/>
      <c r="O792" s="822"/>
      <c r="P792" s="822"/>
      <c r="Q792" s="822"/>
      <c r="R792" s="822"/>
      <c r="S792" s="822"/>
      <c r="T792" s="822"/>
      <c r="U792" s="822"/>
      <c r="V792" s="822"/>
      <c r="W792" s="822"/>
      <c r="X792" s="822"/>
      <c r="Y792" s="823"/>
      <c r="Z792" s="823"/>
      <c r="AA792" s="823"/>
    </row>
    <row r="793" spans="1:27" x14ac:dyDescent="0.25">
      <c r="A793" s="1035">
        <v>785</v>
      </c>
      <c r="B793" s="1035" t="s">
        <v>58</v>
      </c>
      <c r="C793" s="1035" t="s">
        <v>185</v>
      </c>
      <c r="D793" s="1363"/>
      <c r="E793" s="1352"/>
      <c r="F793" s="1352"/>
      <c r="G793" s="1352"/>
      <c r="H793" s="1353"/>
      <c r="I793" s="1029"/>
      <c r="K793" s="783"/>
      <c r="L793" s="800"/>
      <c r="M793" s="776"/>
      <c r="N793" s="801"/>
      <c r="O793" s="822"/>
      <c r="P793" s="822"/>
      <c r="Q793" s="822"/>
      <c r="R793" s="822"/>
      <c r="S793" s="822"/>
      <c r="T793" s="822"/>
      <c r="U793" s="822"/>
      <c r="V793" s="822"/>
      <c r="W793" s="822"/>
      <c r="X793" s="822"/>
      <c r="Y793" s="823"/>
      <c r="Z793" s="823"/>
      <c r="AA793" s="823"/>
    </row>
    <row r="794" spans="1:27" x14ac:dyDescent="0.25">
      <c r="A794" s="1035">
        <v>786</v>
      </c>
      <c r="B794" s="1035" t="s">
        <v>58</v>
      </c>
      <c r="C794" s="1035" t="s">
        <v>185</v>
      </c>
      <c r="D794" s="1354"/>
      <c r="E794" s="1355"/>
      <c r="F794" s="1355"/>
      <c r="G794" s="1355"/>
      <c r="H794" s="1356"/>
      <c r="I794" s="1029"/>
      <c r="K794" s="783"/>
      <c r="L794" s="800"/>
      <c r="M794" s="776"/>
      <c r="N794" s="801"/>
      <c r="O794" s="822"/>
      <c r="P794" s="822"/>
      <c r="Q794" s="822"/>
      <c r="R794" s="822"/>
      <c r="S794" s="822"/>
      <c r="T794" s="822"/>
      <c r="U794" s="822"/>
      <c r="V794" s="822"/>
      <c r="W794" s="822"/>
      <c r="X794" s="822"/>
      <c r="Y794" s="823"/>
      <c r="Z794" s="823"/>
      <c r="AA794" s="823"/>
    </row>
    <row r="795" spans="1:27" x14ac:dyDescent="0.25">
      <c r="A795" s="1035">
        <v>787</v>
      </c>
      <c r="B795" s="1035" t="s">
        <v>58</v>
      </c>
      <c r="C795" s="1035" t="s">
        <v>185</v>
      </c>
      <c r="D795" s="1354"/>
      <c r="E795" s="1355"/>
      <c r="F795" s="1355"/>
      <c r="G795" s="1355"/>
      <c r="H795" s="1356"/>
      <c r="I795" s="1029"/>
      <c r="K795" s="783"/>
      <c r="L795" s="800"/>
      <c r="M795" s="776"/>
      <c r="N795" s="801"/>
      <c r="O795" s="822"/>
      <c r="P795" s="822"/>
      <c r="Q795" s="822"/>
      <c r="R795" s="822"/>
      <c r="S795" s="822"/>
      <c r="T795" s="822"/>
      <c r="U795" s="822"/>
      <c r="V795" s="822"/>
      <c r="W795" s="822"/>
      <c r="X795" s="822"/>
      <c r="Y795" s="823"/>
      <c r="Z795" s="823"/>
      <c r="AA795" s="823"/>
    </row>
    <row r="796" spans="1:27" x14ac:dyDescent="0.25">
      <c r="A796" s="1035">
        <v>788</v>
      </c>
      <c r="B796" s="1035" t="s">
        <v>58</v>
      </c>
      <c r="C796" s="1035" t="s">
        <v>185</v>
      </c>
      <c r="D796" s="1354"/>
      <c r="E796" s="1358"/>
      <c r="F796" s="1358"/>
      <c r="G796" s="1358"/>
      <c r="H796" s="1359"/>
      <c r="I796" s="1029"/>
      <c r="K796" s="783"/>
      <c r="L796" s="800"/>
      <c r="M796" s="776"/>
      <c r="N796" s="801"/>
      <c r="O796" s="822"/>
      <c r="P796" s="822"/>
      <c r="Q796" s="822"/>
      <c r="R796" s="822"/>
      <c r="S796" s="822"/>
      <c r="T796" s="822"/>
      <c r="U796" s="822"/>
      <c r="V796" s="822"/>
      <c r="W796" s="822"/>
      <c r="X796" s="822"/>
      <c r="Y796" s="823"/>
      <c r="Z796" s="823"/>
      <c r="AA796" s="823"/>
    </row>
    <row r="797" spans="1:27" x14ac:dyDescent="0.25">
      <c r="A797" s="1035">
        <v>789</v>
      </c>
      <c r="B797" s="1035" t="s">
        <v>58</v>
      </c>
      <c r="C797" s="1035" t="s">
        <v>185</v>
      </c>
      <c r="D797" s="1364"/>
      <c r="E797" s="1358"/>
      <c r="F797" s="1358"/>
      <c r="G797" s="1358"/>
      <c r="H797" s="1359"/>
      <c r="I797" s="1029"/>
      <c r="K797" s="783"/>
      <c r="L797" s="800"/>
      <c r="M797" s="776"/>
      <c r="N797" s="801"/>
      <c r="O797" s="822"/>
      <c r="P797" s="822"/>
      <c r="Q797" s="822"/>
      <c r="R797" s="822"/>
      <c r="S797" s="822"/>
      <c r="T797" s="822"/>
      <c r="U797" s="822"/>
      <c r="V797" s="822"/>
      <c r="W797" s="822"/>
      <c r="X797" s="822"/>
      <c r="Y797" s="823"/>
      <c r="Z797" s="823"/>
      <c r="AA797" s="823"/>
    </row>
    <row r="798" spans="1:27" x14ac:dyDescent="0.25">
      <c r="A798" s="1035">
        <v>790</v>
      </c>
      <c r="B798" s="1035" t="s">
        <v>58</v>
      </c>
      <c r="C798" s="1035" t="s">
        <v>185</v>
      </c>
      <c r="D798" s="1360"/>
      <c r="E798" s="1361"/>
      <c r="F798" s="1361"/>
      <c r="G798" s="1361"/>
      <c r="H798" s="1362"/>
      <c r="I798" s="1029"/>
      <c r="K798" s="783"/>
      <c r="L798" s="800"/>
      <c r="M798" s="776"/>
      <c r="N798" s="801"/>
      <c r="O798" s="822"/>
      <c r="P798" s="822"/>
      <c r="Q798" s="822"/>
      <c r="R798" s="822"/>
      <c r="S798" s="822"/>
      <c r="T798" s="822"/>
      <c r="U798" s="822"/>
      <c r="V798" s="822"/>
      <c r="W798" s="822"/>
      <c r="X798" s="822"/>
      <c r="Y798" s="823"/>
      <c r="Z798" s="823"/>
      <c r="AA798" s="823"/>
    </row>
    <row r="799" spans="1:27" ht="15.75" thickBot="1" x14ac:dyDescent="0.3">
      <c r="A799" s="1035">
        <v>791</v>
      </c>
      <c r="B799" s="1035" t="s">
        <v>58</v>
      </c>
      <c r="C799" s="1035" t="s">
        <v>185</v>
      </c>
      <c r="I799" s="1029"/>
      <c r="K799" s="783"/>
      <c r="L799" s="800"/>
      <c r="M799" s="776"/>
      <c r="N799" s="801"/>
      <c r="O799" s="822"/>
      <c r="P799" s="822"/>
      <c r="Q799" s="822"/>
      <c r="R799" s="822"/>
      <c r="S799" s="822"/>
      <c r="T799" s="822"/>
      <c r="U799" s="822"/>
      <c r="V799" s="822"/>
      <c r="W799" s="822"/>
      <c r="X799" s="822"/>
      <c r="Y799" s="823"/>
      <c r="Z799" s="823"/>
      <c r="AA799" s="823"/>
    </row>
    <row r="800" spans="1:27" ht="15.75" thickBot="1" x14ac:dyDescent="0.3">
      <c r="A800" s="1039">
        <v>792</v>
      </c>
      <c r="B800" s="1039" t="s">
        <v>58</v>
      </c>
      <c r="C800" s="905" t="s">
        <v>186</v>
      </c>
      <c r="D800" s="1103" t="s">
        <v>910</v>
      </c>
      <c r="E800" s="1104"/>
      <c r="F800" s="1104"/>
      <c r="G800" s="1105"/>
      <c r="H800" s="1105"/>
      <c r="I800" s="1029"/>
      <c r="K800" s="783"/>
      <c r="L800" s="804" t="str">
        <f>C800</f>
        <v>Wat 02</v>
      </c>
      <c r="M800" s="776"/>
      <c r="N800" s="801"/>
      <c r="O800" s="822"/>
      <c r="P800" s="822"/>
      <c r="Q800" s="822"/>
      <c r="R800" s="822"/>
      <c r="S800" s="822"/>
      <c r="T800" s="822"/>
      <c r="U800" s="822"/>
      <c r="V800" s="822"/>
      <c r="W800" s="822"/>
      <c r="X800" s="822"/>
      <c r="Y800" s="823"/>
      <c r="Z800" s="823"/>
      <c r="AA800" s="823"/>
    </row>
    <row r="801" spans="1:33" x14ac:dyDescent="0.25">
      <c r="A801" s="1035">
        <v>793</v>
      </c>
      <c r="B801" s="1035" t="s">
        <v>58</v>
      </c>
      <c r="C801" s="1035" t="s">
        <v>186</v>
      </c>
      <c r="D801" s="1107" t="s">
        <v>17</v>
      </c>
      <c r="E801" s="1108">
        <f>Wat02_credits</f>
        <v>1</v>
      </c>
      <c r="F801" s="1109"/>
      <c r="G801" s="1110" t="s">
        <v>85</v>
      </c>
      <c r="H801" s="1111">
        <f>Wat02_12</f>
        <v>6.2500000000000003E-3</v>
      </c>
      <c r="I801" s="1029"/>
      <c r="K801" s="783"/>
      <c r="L801" s="800"/>
      <c r="M801" s="776"/>
      <c r="N801" s="801"/>
      <c r="O801" s="822"/>
      <c r="P801" s="822"/>
      <c r="Q801" s="822"/>
      <c r="R801" s="822"/>
      <c r="S801" s="822"/>
      <c r="T801" s="822"/>
      <c r="U801" s="822"/>
      <c r="V801" s="822"/>
      <c r="W801" s="822"/>
      <c r="X801" s="822"/>
      <c r="Y801" s="823"/>
      <c r="Z801" s="823"/>
      <c r="AA801" s="823"/>
    </row>
    <row r="802" spans="1:33" x14ac:dyDescent="0.25">
      <c r="A802" s="1035">
        <v>794</v>
      </c>
      <c r="B802" s="1035" t="s">
        <v>58</v>
      </c>
      <c r="C802" s="1035" t="s">
        <v>186</v>
      </c>
      <c r="D802" s="1112" t="s">
        <v>349</v>
      </c>
      <c r="E802" s="1113">
        <v>0</v>
      </c>
      <c r="F802" s="1114"/>
      <c r="G802" s="1115" t="s">
        <v>350</v>
      </c>
      <c r="H802" s="1116" t="s">
        <v>15</v>
      </c>
      <c r="I802" s="1029"/>
      <c r="K802" s="783"/>
      <c r="L802" s="800"/>
      <c r="M802" s="776"/>
      <c r="N802" s="801"/>
      <c r="O802" s="822"/>
      <c r="P802" s="822"/>
      <c r="Q802" s="822"/>
      <c r="R802" s="822"/>
      <c r="S802" s="822"/>
      <c r="T802" s="822"/>
      <c r="U802" s="822"/>
      <c r="V802" s="822"/>
      <c r="W802" s="822"/>
      <c r="X802" s="822"/>
      <c r="Y802" s="823"/>
      <c r="Z802" s="823"/>
      <c r="AA802" s="823"/>
    </row>
    <row r="803" spans="1:33" x14ac:dyDescent="0.25">
      <c r="A803" s="1035">
        <v>795</v>
      </c>
      <c r="B803" s="1035" t="s">
        <v>58</v>
      </c>
      <c r="C803" s="1035" t="s">
        <v>186</v>
      </c>
      <c r="I803" s="1029"/>
      <c r="K803" s="783"/>
      <c r="L803" s="800"/>
      <c r="M803" s="776"/>
      <c r="N803" s="801"/>
      <c r="O803" s="822"/>
      <c r="P803" s="822"/>
      <c r="Q803" s="822"/>
      <c r="R803" s="822"/>
      <c r="S803" s="822"/>
      <c r="T803" s="822"/>
      <c r="U803" s="822"/>
      <c r="V803" s="822"/>
      <c r="W803" s="822"/>
      <c r="X803" s="822"/>
      <c r="Y803" s="823"/>
      <c r="Z803" s="823"/>
      <c r="AA803" s="823"/>
    </row>
    <row r="804" spans="1:33" ht="15.75" thickBot="1" x14ac:dyDescent="0.3">
      <c r="A804" s="1035">
        <v>796</v>
      </c>
      <c r="B804" s="1035" t="s">
        <v>58</v>
      </c>
      <c r="C804" s="1035" t="s">
        <v>186</v>
      </c>
      <c r="D804" s="1117" t="s">
        <v>351</v>
      </c>
      <c r="E804" s="1118" t="s">
        <v>352</v>
      </c>
      <c r="F804" s="1118" t="s">
        <v>353</v>
      </c>
      <c r="G804" s="1118" t="s">
        <v>354</v>
      </c>
      <c r="H804" s="1118" t="s">
        <v>355</v>
      </c>
      <c r="I804" s="1029"/>
      <c r="K804" s="783"/>
      <c r="L804" s="800"/>
      <c r="M804" s="776"/>
      <c r="N804" s="801"/>
      <c r="O804" s="822"/>
      <c r="P804" s="822"/>
      <c r="Q804" s="822"/>
      <c r="R804" s="822"/>
      <c r="S804" s="822"/>
      <c r="T804" s="822"/>
      <c r="U804" s="822"/>
      <c r="V804" s="822"/>
      <c r="W804" s="822"/>
      <c r="X804" s="822"/>
      <c r="Y804" s="823"/>
      <c r="Z804" s="823"/>
      <c r="AA804" s="823"/>
    </row>
    <row r="805" spans="1:33" ht="15.75" thickBot="1" x14ac:dyDescent="0.3">
      <c r="A805" s="1035">
        <v>797</v>
      </c>
      <c r="B805" s="1035" t="s">
        <v>58</v>
      </c>
      <c r="C805" s="1035" t="s">
        <v>186</v>
      </c>
      <c r="D805" s="1119" t="s">
        <v>427</v>
      </c>
      <c r="E805" s="1093" t="s">
        <v>360</v>
      </c>
      <c r="F805" s="1143">
        <f>E801</f>
        <v>1</v>
      </c>
      <c r="G805" s="1279">
        <f>IF(AND(E805=AIS_Yes,OR(E806=AIS_Yes,E806=AIS_NA),E807=AIS_Yes,OR(E808=AIS_Yes,E808=AIS_NA)),E801,0)*IF(U805=AIS_No,1,IF(H805=AA805,R805,IF(H805=AB805,S805,IF(H805=AC805,T805,1))))</f>
        <v>0</v>
      </c>
      <c r="H805" s="1327" t="s">
        <v>16</v>
      </c>
      <c r="I805" s="1029"/>
      <c r="K805" s="783"/>
      <c r="L805" s="800"/>
      <c r="M805" s="776"/>
      <c r="N805" s="801"/>
      <c r="O805" s="1266">
        <v>1</v>
      </c>
      <c r="P805" s="1266">
        <v>0.5</v>
      </c>
      <c r="Q805" s="1267">
        <v>1</v>
      </c>
      <c r="R805" s="1258" t="str">
        <f t="shared" ref="R805" si="63">IF($T$4=AIS_Yes,O805,AIS_NA)</f>
        <v>N/A</v>
      </c>
      <c r="S805" s="1259" t="str">
        <f t="shared" ref="S805" si="64">IF($T$4=AIS_Yes,P805,AIS_NA)</f>
        <v>N/A</v>
      </c>
      <c r="T805" s="1074" t="str">
        <f t="shared" ref="T805" si="65">IF($T$4=AIS_Yes,Q805,AIS_NA)</f>
        <v>N/A</v>
      </c>
      <c r="U805" s="1265" t="str">
        <f>IF(AND($T$4=AIS_Yes,OR(R805&lt;&gt;AIS_NA,S805&lt;&gt;AIS_NA,T805&lt;&gt;AIS_NA)),AIS_Yes,AIS_No)</f>
        <v>No</v>
      </c>
      <c r="V805" s="1258" t="str">
        <f>AIS_option01</f>
        <v>N/A</v>
      </c>
      <c r="W805" s="1259" t="str">
        <f>AIS_option02_50</f>
        <v>Option 2: -50%</v>
      </c>
      <c r="X805" s="1272" t="str">
        <f>AIS_option03</f>
        <v>N/A</v>
      </c>
      <c r="Y805" s="1273"/>
      <c r="Z805" s="1282" t="str">
        <f>AIS_NA</f>
        <v>N/A</v>
      </c>
      <c r="AA805" s="1274" t="str">
        <f>IF(U805=AIS_Yes,V805,AIS_NA)</f>
        <v>N/A</v>
      </c>
      <c r="AB805" s="1274" t="str">
        <f>IF(U805=AIS_Yes,W805,AIS_NA)</f>
        <v>N/A</v>
      </c>
      <c r="AC805" s="1275" t="str">
        <f>IF(U805=AIS_Yes,X805,AIS_NA)</f>
        <v>N/A</v>
      </c>
      <c r="AD805" s="1276" t="str">
        <f>C805</f>
        <v>Wat 02</v>
      </c>
      <c r="AE805" s="1262" t="str">
        <f>D800</f>
        <v>Water monitoring</v>
      </c>
      <c r="AF805" s="1263" t="str">
        <f>H805</f>
        <v>N/A</v>
      </c>
      <c r="AG805" s="768">
        <f>IF(U805=AIS_No,1,IF(H805=AA805,R805,IF(H805=AB805,S805,IF(H805=AC805,T805,1))))</f>
        <v>1</v>
      </c>
    </row>
    <row r="806" spans="1:33" x14ac:dyDescent="0.25">
      <c r="A806" s="1035">
        <v>798</v>
      </c>
      <c r="B806" s="1035" t="s">
        <v>58</v>
      </c>
      <c r="C806" s="1035" t="s">
        <v>186</v>
      </c>
      <c r="D806" s="1121" t="s">
        <v>428</v>
      </c>
      <c r="E806" s="1091" t="s">
        <v>360</v>
      </c>
      <c r="I806" s="1029"/>
      <c r="K806" s="783"/>
      <c r="L806" s="800"/>
      <c r="M806" s="776"/>
      <c r="N806" s="801"/>
      <c r="O806" s="822"/>
      <c r="P806" s="822"/>
      <c r="Q806" s="822"/>
      <c r="R806" s="822"/>
      <c r="S806" s="822"/>
      <c r="T806" s="822"/>
      <c r="U806" s="822"/>
      <c r="V806" s="822"/>
      <c r="W806" s="822"/>
      <c r="X806" s="822"/>
      <c r="Y806" s="823"/>
      <c r="Z806" s="823"/>
      <c r="AA806" s="823"/>
    </row>
    <row r="807" spans="1:33" x14ac:dyDescent="0.25">
      <c r="A807" s="1035">
        <v>799</v>
      </c>
      <c r="B807" s="1035" t="s">
        <v>58</v>
      </c>
      <c r="C807" s="1035" t="s">
        <v>186</v>
      </c>
      <c r="D807" s="1172" t="s">
        <v>429</v>
      </c>
      <c r="E807" s="1100" t="s">
        <v>360</v>
      </c>
      <c r="I807" s="1029"/>
      <c r="K807" s="783"/>
      <c r="L807" s="800"/>
      <c r="M807" s="776"/>
      <c r="N807" s="801"/>
      <c r="O807" s="822"/>
      <c r="P807" s="822"/>
      <c r="Q807" s="822"/>
      <c r="R807" s="822"/>
      <c r="S807" s="822"/>
      <c r="T807" s="822"/>
      <c r="U807" s="822"/>
      <c r="V807" s="822"/>
      <c r="W807" s="822"/>
      <c r="X807" s="822"/>
      <c r="Y807" s="823"/>
      <c r="Z807" s="823"/>
      <c r="AA807" s="823"/>
    </row>
    <row r="808" spans="1:33" ht="15.75" thickBot="1" x14ac:dyDescent="0.3">
      <c r="A808" s="1035">
        <v>800</v>
      </c>
      <c r="B808" s="1035" t="s">
        <v>58</v>
      </c>
      <c r="C808" s="1035" t="s">
        <v>186</v>
      </c>
      <c r="D808" s="1123" t="s">
        <v>430</v>
      </c>
      <c r="E808" s="1092" t="s">
        <v>360</v>
      </c>
      <c r="I808" s="1029"/>
      <c r="K808" s="783"/>
      <c r="L808" s="800"/>
      <c r="M808" s="776"/>
      <c r="N808" s="801"/>
      <c r="O808" s="822"/>
      <c r="P808" s="822"/>
      <c r="Q808" s="822"/>
      <c r="R808" s="822"/>
      <c r="S808" s="822"/>
      <c r="T808" s="822"/>
      <c r="U808" s="822"/>
      <c r="V808" s="822"/>
      <c r="W808" s="822"/>
      <c r="X808" s="822"/>
      <c r="Y808" s="823"/>
      <c r="Z808" s="823"/>
      <c r="AA808" s="823"/>
    </row>
    <row r="809" spans="1:33" x14ac:dyDescent="0.25">
      <c r="A809" s="1035">
        <v>801</v>
      </c>
      <c r="B809" s="1035" t="s">
        <v>58</v>
      </c>
      <c r="C809" s="1035" t="s">
        <v>186</v>
      </c>
      <c r="I809" s="1029"/>
      <c r="K809" s="783"/>
      <c r="L809" s="800"/>
      <c r="M809" s="776"/>
      <c r="N809" s="801"/>
      <c r="O809" s="822"/>
      <c r="P809" s="822"/>
      <c r="Q809" s="822"/>
      <c r="R809" s="822"/>
      <c r="S809" s="822"/>
      <c r="T809" s="822"/>
      <c r="U809" s="822"/>
      <c r="V809" s="822"/>
      <c r="W809" s="822"/>
      <c r="X809" s="822"/>
      <c r="Y809" s="823"/>
      <c r="Z809" s="823"/>
      <c r="AA809" s="823"/>
    </row>
    <row r="810" spans="1:33" x14ac:dyDescent="0.25">
      <c r="A810" s="1035">
        <v>802</v>
      </c>
      <c r="B810" s="1035" t="s">
        <v>58</v>
      </c>
      <c r="C810" s="1035" t="s">
        <v>186</v>
      </c>
      <c r="D810" s="1127" t="s">
        <v>356</v>
      </c>
      <c r="E810" s="1278">
        <f>G805</f>
        <v>0</v>
      </c>
      <c r="I810" s="1029"/>
      <c r="K810" s="783"/>
      <c r="L810" s="800"/>
      <c r="M810" s="776"/>
      <c r="N810" s="801"/>
      <c r="O810" s="822"/>
      <c r="P810" s="822"/>
      <c r="Q810" s="822"/>
      <c r="R810" s="822"/>
      <c r="S810" s="822"/>
      <c r="T810" s="822"/>
      <c r="U810" s="822"/>
      <c r="V810" s="822"/>
      <c r="W810" s="822"/>
      <c r="X810" s="822"/>
      <c r="Y810" s="823"/>
      <c r="Z810" s="823"/>
      <c r="AA810" s="823"/>
    </row>
    <row r="811" spans="1:33" x14ac:dyDescent="0.25">
      <c r="A811" s="1035">
        <v>803</v>
      </c>
      <c r="B811" s="1035" t="s">
        <v>58</v>
      </c>
      <c r="C811" s="1035" t="s">
        <v>186</v>
      </c>
      <c r="D811" s="1129" t="s">
        <v>86</v>
      </c>
      <c r="E811" s="1130">
        <f>Wat02_13</f>
        <v>0</v>
      </c>
      <c r="I811" s="1029"/>
      <c r="K811" s="783"/>
      <c r="L811" s="800"/>
      <c r="M811" s="776"/>
      <c r="N811" s="801"/>
      <c r="O811" s="822"/>
      <c r="P811" s="822"/>
      <c r="Q811" s="822"/>
      <c r="R811" s="822"/>
      <c r="S811" s="822"/>
      <c r="T811" s="822"/>
      <c r="U811" s="822"/>
      <c r="V811" s="822"/>
      <c r="W811" s="822"/>
      <c r="X811" s="822"/>
      <c r="Y811" s="823"/>
      <c r="Z811" s="823"/>
      <c r="AA811" s="823"/>
    </row>
    <row r="812" spans="1:33" x14ac:dyDescent="0.25">
      <c r="A812" s="1035">
        <v>804</v>
      </c>
      <c r="B812" s="1035" t="s">
        <v>58</v>
      </c>
      <c r="C812" s="1035" t="s">
        <v>186</v>
      </c>
      <c r="D812" s="1131" t="s">
        <v>357</v>
      </c>
      <c r="E812" s="1128" t="s">
        <v>16</v>
      </c>
      <c r="I812" s="1029"/>
      <c r="K812" s="783"/>
      <c r="L812" s="800"/>
      <c r="M812" s="776"/>
      <c r="N812" s="801"/>
      <c r="O812" s="822"/>
      <c r="P812" s="822"/>
      <c r="Q812" s="822"/>
      <c r="R812" s="822"/>
      <c r="S812" s="822"/>
      <c r="T812" s="822"/>
      <c r="U812" s="822"/>
      <c r="V812" s="822"/>
      <c r="W812" s="822"/>
      <c r="X812" s="822"/>
      <c r="Y812" s="823"/>
      <c r="Z812" s="823"/>
      <c r="AA812" s="823"/>
    </row>
    <row r="813" spans="1:33" x14ac:dyDescent="0.25">
      <c r="A813" s="1035">
        <v>805</v>
      </c>
      <c r="B813" s="1035" t="s">
        <v>58</v>
      </c>
      <c r="C813" s="1035" t="s">
        <v>186</v>
      </c>
      <c r="D813" s="1132" t="s">
        <v>55</v>
      </c>
      <c r="E813" s="1133" t="s">
        <v>16</v>
      </c>
      <c r="F813" s="1134"/>
      <c r="G813" s="1135"/>
      <c r="I813" s="1029"/>
      <c r="K813" s="783"/>
      <c r="L813" s="800"/>
      <c r="M813" s="776"/>
      <c r="N813" s="801"/>
      <c r="O813" s="822"/>
      <c r="P813" s="822"/>
      <c r="Q813" s="822"/>
      <c r="R813" s="822"/>
      <c r="S813" s="822"/>
      <c r="T813" s="822"/>
      <c r="U813" s="822"/>
      <c r="V813" s="822"/>
      <c r="W813" s="822"/>
      <c r="X813" s="822"/>
      <c r="Y813" s="823"/>
      <c r="Z813" s="823"/>
      <c r="AA813" s="823"/>
    </row>
    <row r="814" spans="1:33" x14ac:dyDescent="0.25">
      <c r="A814" s="1035">
        <v>806</v>
      </c>
      <c r="B814" s="1035" t="s">
        <v>58</v>
      </c>
      <c r="C814" s="1035" t="s">
        <v>186</v>
      </c>
      <c r="I814" s="1029"/>
      <c r="K814" s="783"/>
      <c r="L814" s="800"/>
      <c r="M814" s="776"/>
      <c r="N814" s="801"/>
      <c r="O814" s="822"/>
      <c r="P814" s="822"/>
      <c r="Q814" s="822"/>
      <c r="R814" s="822"/>
      <c r="S814" s="822"/>
      <c r="T814" s="822"/>
      <c r="U814" s="822"/>
      <c r="V814" s="822"/>
      <c r="W814" s="822"/>
      <c r="X814" s="822"/>
      <c r="Y814" s="823"/>
      <c r="Z814" s="823"/>
      <c r="AA814" s="823"/>
    </row>
    <row r="815" spans="1:33" x14ac:dyDescent="0.25">
      <c r="A815" s="1035">
        <v>807</v>
      </c>
      <c r="B815" s="1035" t="s">
        <v>58</v>
      </c>
      <c r="C815" s="1035" t="s">
        <v>186</v>
      </c>
      <c r="D815" s="1136" t="s">
        <v>359</v>
      </c>
      <c r="E815" s="1136" t="s">
        <v>977</v>
      </c>
      <c r="F815" s="1136" t="str">
        <f>HLOOKUP(C815,'Assessment References'!$H$512:$BG$513,2,FALSE)</f>
        <v/>
      </c>
      <c r="G815" s="1137"/>
      <c r="H815" s="1138"/>
      <c r="I815" s="1029"/>
      <c r="K815" s="783"/>
      <c r="L815" s="800"/>
      <c r="M815" s="776"/>
      <c r="N815" s="801"/>
      <c r="O815" s="822"/>
      <c r="P815" s="822"/>
      <c r="Q815" s="822"/>
      <c r="R815" s="822"/>
      <c r="S815" s="822"/>
      <c r="T815" s="822"/>
      <c r="U815" s="822"/>
      <c r="V815" s="822"/>
      <c r="W815" s="822"/>
      <c r="X815" s="822"/>
      <c r="Y815" s="823"/>
      <c r="Z815" s="823"/>
      <c r="AA815" s="823"/>
    </row>
    <row r="816" spans="1:33" x14ac:dyDescent="0.25">
      <c r="A816" s="1035">
        <v>808</v>
      </c>
      <c r="B816" s="1035" t="s">
        <v>58</v>
      </c>
      <c r="C816" s="1035" t="s">
        <v>186</v>
      </c>
      <c r="D816" s="1363"/>
      <c r="E816" s="1352"/>
      <c r="F816" s="1352"/>
      <c r="G816" s="1352"/>
      <c r="H816" s="1353"/>
      <c r="I816" s="1029"/>
      <c r="K816" s="783"/>
      <c r="L816" s="800"/>
      <c r="M816" s="776"/>
      <c r="N816" s="801"/>
      <c r="O816" s="822"/>
      <c r="P816" s="822"/>
      <c r="Q816" s="822"/>
      <c r="R816" s="822"/>
      <c r="S816" s="822"/>
      <c r="T816" s="822"/>
      <c r="U816" s="822"/>
      <c r="V816" s="822"/>
      <c r="W816" s="822"/>
      <c r="X816" s="822"/>
      <c r="Y816" s="823"/>
      <c r="Z816" s="823"/>
      <c r="AA816" s="823"/>
    </row>
    <row r="817" spans="1:33" x14ac:dyDescent="0.25">
      <c r="A817" s="1035">
        <v>809</v>
      </c>
      <c r="B817" s="1035" t="s">
        <v>58</v>
      </c>
      <c r="C817" s="1035" t="s">
        <v>186</v>
      </c>
      <c r="D817" s="1354"/>
      <c r="E817" s="1355"/>
      <c r="F817" s="1355"/>
      <c r="G817" s="1355"/>
      <c r="H817" s="1356"/>
      <c r="I817" s="1029"/>
      <c r="K817" s="783"/>
      <c r="L817" s="800"/>
      <c r="M817" s="776"/>
      <c r="N817" s="801"/>
      <c r="O817" s="822"/>
      <c r="P817" s="822"/>
      <c r="Q817" s="822"/>
      <c r="R817" s="822"/>
      <c r="S817" s="822"/>
      <c r="T817" s="822"/>
      <c r="U817" s="822"/>
      <c r="V817" s="822"/>
      <c r="W817" s="822"/>
      <c r="X817" s="822"/>
      <c r="Y817" s="823"/>
      <c r="Z817" s="823"/>
      <c r="AA817" s="823"/>
    </row>
    <row r="818" spans="1:33" x14ac:dyDescent="0.25">
      <c r="A818" s="1035">
        <v>810</v>
      </c>
      <c r="B818" s="1035" t="s">
        <v>58</v>
      </c>
      <c r="C818" s="1035" t="s">
        <v>186</v>
      </c>
      <c r="D818" s="1354"/>
      <c r="E818" s="1355"/>
      <c r="F818" s="1355"/>
      <c r="G818" s="1355"/>
      <c r="H818" s="1356"/>
      <c r="I818" s="1029"/>
      <c r="K818" s="783"/>
      <c r="L818" s="800"/>
      <c r="M818" s="776"/>
      <c r="N818" s="801"/>
      <c r="O818" s="822"/>
      <c r="P818" s="822"/>
      <c r="Q818" s="822"/>
      <c r="R818" s="822"/>
      <c r="S818" s="822"/>
      <c r="T818" s="822"/>
      <c r="U818" s="822"/>
      <c r="V818" s="822"/>
      <c r="W818" s="822"/>
      <c r="X818" s="822"/>
      <c r="Y818" s="823"/>
      <c r="Z818" s="823"/>
      <c r="AA818" s="823"/>
    </row>
    <row r="819" spans="1:33" x14ac:dyDescent="0.25">
      <c r="A819" s="1035">
        <v>811</v>
      </c>
      <c r="B819" s="1035" t="s">
        <v>58</v>
      </c>
      <c r="C819" s="1035" t="s">
        <v>186</v>
      </c>
      <c r="D819" s="1364"/>
      <c r="E819" s="1358"/>
      <c r="F819" s="1358"/>
      <c r="G819" s="1358"/>
      <c r="H819" s="1359"/>
      <c r="I819" s="1029"/>
      <c r="K819" s="783"/>
      <c r="L819" s="800"/>
      <c r="M819" s="776"/>
      <c r="N819" s="801"/>
      <c r="O819" s="822"/>
      <c r="P819" s="822"/>
      <c r="Q819" s="822"/>
      <c r="R819" s="822"/>
      <c r="S819" s="822"/>
      <c r="T819" s="822"/>
      <c r="U819" s="822"/>
      <c r="V819" s="822"/>
      <c r="W819" s="822"/>
      <c r="X819" s="822"/>
      <c r="Y819" s="823"/>
      <c r="Z819" s="823"/>
      <c r="AA819" s="823"/>
    </row>
    <row r="820" spans="1:33" x14ac:dyDescent="0.25">
      <c r="A820" s="1035">
        <v>812</v>
      </c>
      <c r="B820" s="1035" t="s">
        <v>58</v>
      </c>
      <c r="C820" s="1035" t="s">
        <v>186</v>
      </c>
      <c r="D820" s="1364"/>
      <c r="E820" s="1358"/>
      <c r="F820" s="1358"/>
      <c r="G820" s="1358"/>
      <c r="H820" s="1359"/>
      <c r="I820" s="1029"/>
      <c r="K820" s="783"/>
      <c r="L820" s="800"/>
      <c r="M820" s="776"/>
      <c r="N820" s="801"/>
      <c r="O820" s="822"/>
      <c r="P820" s="822"/>
      <c r="Q820" s="822"/>
      <c r="R820" s="822"/>
      <c r="S820" s="822"/>
      <c r="T820" s="822"/>
      <c r="U820" s="822"/>
      <c r="V820" s="822"/>
      <c r="W820" s="822"/>
      <c r="X820" s="822"/>
      <c r="Y820" s="823"/>
      <c r="Z820" s="823"/>
      <c r="AA820" s="823"/>
    </row>
    <row r="821" spans="1:33" x14ac:dyDescent="0.25">
      <c r="A821" s="1035">
        <v>813</v>
      </c>
      <c r="B821" s="1035" t="s">
        <v>58</v>
      </c>
      <c r="C821" s="1035" t="s">
        <v>186</v>
      </c>
      <c r="D821" s="1360"/>
      <c r="E821" s="1361"/>
      <c r="F821" s="1361"/>
      <c r="G821" s="1361"/>
      <c r="H821" s="1362"/>
      <c r="I821" s="1029"/>
      <c r="K821" s="783"/>
      <c r="L821" s="800"/>
      <c r="M821" s="776"/>
      <c r="N821" s="801"/>
      <c r="O821" s="822"/>
      <c r="P821" s="822"/>
      <c r="Q821" s="822"/>
      <c r="R821" s="822"/>
      <c r="S821" s="822"/>
      <c r="T821" s="822"/>
      <c r="U821" s="822"/>
      <c r="V821" s="822"/>
      <c r="W821" s="822"/>
      <c r="X821" s="822"/>
      <c r="Y821" s="823"/>
      <c r="Z821" s="823"/>
      <c r="AA821" s="823"/>
    </row>
    <row r="822" spans="1:33" ht="15.75" thickBot="1" x14ac:dyDescent="0.3">
      <c r="A822" s="1035">
        <v>814</v>
      </c>
      <c r="B822" s="1035" t="s">
        <v>58</v>
      </c>
      <c r="C822" s="1035" t="s">
        <v>186</v>
      </c>
      <c r="I822" s="1029"/>
      <c r="K822" s="783"/>
      <c r="L822" s="800"/>
      <c r="M822" s="776"/>
      <c r="N822" s="801"/>
      <c r="O822" s="822"/>
      <c r="P822" s="822"/>
      <c r="Q822" s="822"/>
      <c r="R822" s="822"/>
      <c r="S822" s="822"/>
      <c r="T822" s="822"/>
      <c r="U822" s="822"/>
      <c r="V822" s="822"/>
      <c r="W822" s="822"/>
      <c r="X822" s="822"/>
      <c r="Y822" s="823"/>
      <c r="Z822" s="823"/>
      <c r="AA822" s="823"/>
    </row>
    <row r="823" spans="1:33" ht="15.75" thickBot="1" x14ac:dyDescent="0.3">
      <c r="A823" s="1039">
        <v>815</v>
      </c>
      <c r="B823" s="1039" t="s">
        <v>58</v>
      </c>
      <c r="C823" s="827" t="s">
        <v>187</v>
      </c>
      <c r="D823" s="1103" t="s">
        <v>911</v>
      </c>
      <c r="E823" s="1104"/>
      <c r="F823" s="1104"/>
      <c r="G823" s="1105"/>
      <c r="H823" s="1167" t="str">
        <f>IF(Wat03_credits=AIS_credit00,AIS_statement32,"")</f>
        <v/>
      </c>
      <c r="I823" s="1029"/>
      <c r="K823" s="783"/>
      <c r="L823" s="804" t="str">
        <f>C823</f>
        <v>Wat 03</v>
      </c>
      <c r="M823" s="776"/>
      <c r="N823" s="801"/>
      <c r="O823" s="822"/>
      <c r="P823" s="822"/>
      <c r="Q823" s="822"/>
      <c r="R823" s="822"/>
      <c r="S823" s="822"/>
      <c r="T823" s="822"/>
      <c r="U823" s="822"/>
      <c r="V823" s="822"/>
      <c r="W823" s="822"/>
      <c r="X823" s="822"/>
      <c r="Y823" s="823"/>
      <c r="Z823" s="823"/>
      <c r="AA823" s="823"/>
    </row>
    <row r="824" spans="1:33" x14ac:dyDescent="0.25">
      <c r="A824" s="1035">
        <v>816</v>
      </c>
      <c r="B824" s="1035" t="s">
        <v>58</v>
      </c>
      <c r="C824" s="1035" t="s">
        <v>187</v>
      </c>
      <c r="D824" s="1107" t="s">
        <v>17</v>
      </c>
      <c r="E824" s="1108">
        <f>Wat03_credits</f>
        <v>2</v>
      </c>
      <c r="F824" s="1109"/>
      <c r="G824" s="1110" t="s">
        <v>85</v>
      </c>
      <c r="H824" s="1111">
        <f>Wat03_09</f>
        <v>1.2500000000000001E-2</v>
      </c>
      <c r="I824" s="1029"/>
      <c r="K824" s="783"/>
      <c r="L824" s="800"/>
      <c r="M824" s="776"/>
      <c r="N824" s="801"/>
      <c r="O824" s="822"/>
      <c r="P824" s="822"/>
      <c r="Q824" s="822"/>
      <c r="R824" s="822"/>
      <c r="S824" s="822"/>
      <c r="T824" s="822"/>
      <c r="U824" s="822"/>
      <c r="V824" s="822"/>
      <c r="W824" s="822"/>
      <c r="X824" s="822"/>
      <c r="Y824" s="823"/>
      <c r="Z824" s="823"/>
      <c r="AA824" s="823"/>
    </row>
    <row r="825" spans="1:33" x14ac:dyDescent="0.25">
      <c r="A825" s="1035">
        <v>817</v>
      </c>
      <c r="B825" s="1035" t="s">
        <v>58</v>
      </c>
      <c r="C825" s="1035" t="s">
        <v>187</v>
      </c>
      <c r="D825" s="1112" t="s">
        <v>349</v>
      </c>
      <c r="E825" s="1113">
        <v>0</v>
      </c>
      <c r="F825" s="1114"/>
      <c r="G825" s="1115" t="s">
        <v>350</v>
      </c>
      <c r="H825" s="1116" t="s">
        <v>15</v>
      </c>
      <c r="I825" s="1029"/>
      <c r="K825" s="783"/>
      <c r="L825" s="800"/>
      <c r="M825" s="776"/>
      <c r="N825" s="801"/>
      <c r="O825" s="822"/>
      <c r="P825" s="822"/>
      <c r="Q825" s="822"/>
      <c r="R825" s="822"/>
      <c r="S825" s="822"/>
      <c r="T825" s="822"/>
      <c r="U825" s="822"/>
      <c r="V825" s="822"/>
      <c r="W825" s="822"/>
      <c r="X825" s="822"/>
      <c r="Y825" s="823"/>
      <c r="Z825" s="823"/>
      <c r="AA825" s="823"/>
    </row>
    <row r="826" spans="1:33" x14ac:dyDescent="0.25">
      <c r="A826" s="1035">
        <v>818</v>
      </c>
      <c r="B826" s="1035" t="s">
        <v>58</v>
      </c>
      <c r="C826" s="1035" t="s">
        <v>187</v>
      </c>
      <c r="I826" s="1029"/>
      <c r="K826" s="783"/>
      <c r="L826" s="800"/>
      <c r="M826" s="776"/>
      <c r="N826" s="801"/>
      <c r="O826" s="822"/>
      <c r="P826" s="822"/>
      <c r="Q826" s="822"/>
      <c r="R826" s="822"/>
      <c r="S826" s="822"/>
      <c r="T826" s="822"/>
      <c r="U826" s="822"/>
      <c r="V826" s="822"/>
      <c r="W826" s="822"/>
      <c r="X826" s="822"/>
      <c r="Y826" s="823"/>
      <c r="Z826" s="823"/>
      <c r="AA826" s="823"/>
    </row>
    <row r="827" spans="1:33" ht="15.75" thickBot="1" x14ac:dyDescent="0.3">
      <c r="A827" s="1035">
        <v>819</v>
      </c>
      <c r="B827" s="1035" t="s">
        <v>58</v>
      </c>
      <c r="C827" s="1035" t="s">
        <v>187</v>
      </c>
      <c r="D827" s="1117" t="s">
        <v>351</v>
      </c>
      <c r="E827" s="1118" t="s">
        <v>352</v>
      </c>
      <c r="F827" s="1118" t="s">
        <v>353</v>
      </c>
      <c r="G827" s="1118" t="s">
        <v>354</v>
      </c>
      <c r="H827" s="1118" t="s">
        <v>355</v>
      </c>
      <c r="I827" s="1029"/>
      <c r="K827" s="783"/>
      <c r="L827" s="800"/>
      <c r="M827" s="776"/>
      <c r="N827" s="801"/>
      <c r="O827" s="822"/>
      <c r="P827" s="822"/>
      <c r="Q827" s="822"/>
      <c r="R827" s="822"/>
      <c r="S827" s="822"/>
      <c r="T827" s="822"/>
      <c r="U827" s="822"/>
      <c r="V827" s="822"/>
      <c r="W827" s="822"/>
      <c r="X827" s="822"/>
      <c r="Y827" s="823"/>
      <c r="Z827" s="823"/>
      <c r="AA827" s="823"/>
    </row>
    <row r="828" spans="1:33" ht="15.75" thickBot="1" x14ac:dyDescent="0.3">
      <c r="A828" s="1035">
        <v>820</v>
      </c>
      <c r="B828" s="1035" t="s">
        <v>58</v>
      </c>
      <c r="C828" s="1035" t="s">
        <v>187</v>
      </c>
      <c r="D828" s="1119" t="s">
        <v>431</v>
      </c>
      <c r="E828" s="1093" t="s">
        <v>360</v>
      </c>
      <c r="F828" s="1120">
        <v>1</v>
      </c>
      <c r="G828" s="1120">
        <f>IF(E828=AIS_Yes,F828,0)</f>
        <v>0</v>
      </c>
      <c r="H828" s="1331" t="s">
        <v>16</v>
      </c>
      <c r="I828" s="1029"/>
      <c r="K828" s="783"/>
      <c r="L828" s="800"/>
      <c r="M828" s="776"/>
      <c r="N828" s="801"/>
      <c r="O828" s="49"/>
      <c r="P828" s="49"/>
      <c r="Q828" s="49"/>
      <c r="R828" s="49"/>
      <c r="S828" s="49"/>
      <c r="T828" s="49"/>
      <c r="U828" s="49" t="str">
        <f>T4</f>
        <v>No</v>
      </c>
      <c r="V828" s="49"/>
      <c r="W828" s="49"/>
      <c r="X828" s="49"/>
      <c r="Y828" s="49"/>
      <c r="Z828" s="49"/>
      <c r="AA828" s="49"/>
      <c r="AB828" s="49"/>
      <c r="AC828" s="49"/>
      <c r="AD828" s="49"/>
      <c r="AE828" s="49"/>
      <c r="AF828" s="49"/>
    </row>
    <row r="829" spans="1:33" ht="15.75" thickBot="1" x14ac:dyDescent="0.3">
      <c r="A829" s="1035">
        <v>821</v>
      </c>
      <c r="B829" s="1035" t="s">
        <v>58</v>
      </c>
      <c r="C829" s="1035" t="s">
        <v>187</v>
      </c>
      <c r="D829" s="1123" t="s">
        <v>432</v>
      </c>
      <c r="E829" s="1099" t="s">
        <v>360</v>
      </c>
      <c r="F829" s="1140">
        <v>1</v>
      </c>
      <c r="G829" s="1294">
        <f>IF(E829=AIS_Yes,F829,0)*IF(U829=AIS_No,1,IF(H829=AA829,R829,IF(H829=AB829,S829,IF(H829=AC829,T829,1))))</f>
        <v>0</v>
      </c>
      <c r="H829" s="1319" t="s">
        <v>16</v>
      </c>
      <c r="I829" s="1029"/>
      <c r="K829" s="783"/>
      <c r="L829" s="800"/>
      <c r="M829" s="776"/>
      <c r="N829" s="801"/>
      <c r="O829" s="1266">
        <v>1</v>
      </c>
      <c r="P829" s="1266">
        <v>0.5</v>
      </c>
      <c r="Q829" s="1267">
        <v>1</v>
      </c>
      <c r="R829" s="1258" t="str">
        <f t="shared" ref="R829" si="66">IF($T$4=AIS_Yes,O829,AIS_NA)</f>
        <v>N/A</v>
      </c>
      <c r="S829" s="1259" t="str">
        <f t="shared" ref="S829" si="67">IF($T$4=AIS_Yes,P829,AIS_NA)</f>
        <v>N/A</v>
      </c>
      <c r="T829" s="1074" t="str">
        <f t="shared" ref="T829" si="68">IF($T$4=AIS_Yes,Q829,AIS_NA)</f>
        <v>N/A</v>
      </c>
      <c r="U829" s="1265" t="str">
        <f>IF(AND($T$4=AIS_Yes,OR(R829&lt;&gt;AIS_NA,S829&lt;&gt;AIS_NA,T829&lt;&gt;AIS_NA)),AIS_Yes,AIS_No)</f>
        <v>No</v>
      </c>
      <c r="V829" s="1258" t="str">
        <f>AIS_option01</f>
        <v>N/A</v>
      </c>
      <c r="W829" s="1259" t="str">
        <f>AIS_option02_50</f>
        <v>Option 2: -50%</v>
      </c>
      <c r="X829" s="1272" t="str">
        <f>AIS_option03</f>
        <v>N/A</v>
      </c>
      <c r="Y829" s="1273"/>
      <c r="Z829" s="1282" t="str">
        <f>AIS_NA</f>
        <v>N/A</v>
      </c>
      <c r="AA829" s="1274" t="str">
        <f>IF(U829=AIS_Yes,V829,AIS_NA)</f>
        <v>N/A</v>
      </c>
      <c r="AB829" s="1274" t="str">
        <f>IF(U829=AIS_Yes,W829,AIS_NA)</f>
        <v>N/A</v>
      </c>
      <c r="AC829" s="1275" t="str">
        <f>IF(U829=AIS_Yes,X829,AIS_NA)</f>
        <v>N/A</v>
      </c>
      <c r="AD829" s="1276" t="str">
        <f>C829</f>
        <v>Wat 03</v>
      </c>
      <c r="AE829" s="1262" t="str">
        <f>D829</f>
        <v>Flow control device to each sanitary area/facility</v>
      </c>
      <c r="AF829" s="1263" t="str">
        <f>H829</f>
        <v>N/A</v>
      </c>
      <c r="AG829" s="768">
        <f>IF(U829=AIS_No,1,IF(H829=AA829,R829,IF(H829=AB829,S829,IF(H829=AC829,T829,1))))</f>
        <v>1</v>
      </c>
    </row>
    <row r="830" spans="1:33" x14ac:dyDescent="0.25">
      <c r="A830" s="1035">
        <v>822</v>
      </c>
      <c r="B830" s="1035" t="s">
        <v>58</v>
      </c>
      <c r="C830" s="1035" t="s">
        <v>187</v>
      </c>
      <c r="I830" s="1029"/>
      <c r="K830" s="783"/>
      <c r="L830" s="800"/>
      <c r="M830" s="776"/>
      <c r="N830" s="801"/>
      <c r="O830" s="822"/>
      <c r="P830" s="822"/>
      <c r="Q830" s="822"/>
      <c r="R830" s="822"/>
      <c r="S830" s="822"/>
      <c r="T830" s="822"/>
      <c r="U830" s="822"/>
      <c r="V830" s="822"/>
      <c r="W830" s="822"/>
      <c r="X830" s="822"/>
      <c r="Y830" s="823"/>
      <c r="Z830" s="823"/>
      <c r="AA830" s="823"/>
    </row>
    <row r="831" spans="1:33" x14ac:dyDescent="0.25">
      <c r="A831" s="1035">
        <v>823</v>
      </c>
      <c r="B831" s="1035" t="s">
        <v>58</v>
      </c>
      <c r="C831" s="1035" t="s">
        <v>187</v>
      </c>
      <c r="D831" s="1127" t="s">
        <v>356</v>
      </c>
      <c r="E831" s="1278">
        <f>IF((G828+G829)&gt;E824,E824,G828+G829)</f>
        <v>0</v>
      </c>
      <c r="I831" s="1029"/>
      <c r="K831" s="783"/>
      <c r="L831" s="800"/>
      <c r="M831" s="776"/>
      <c r="N831" s="801"/>
      <c r="O831" s="822"/>
      <c r="P831" s="822"/>
      <c r="Q831" s="822"/>
      <c r="R831" s="822"/>
      <c r="S831" s="822"/>
      <c r="T831" s="822"/>
      <c r="U831" s="822"/>
      <c r="V831" s="822"/>
      <c r="W831" s="822"/>
      <c r="X831" s="822"/>
      <c r="Y831" s="823"/>
      <c r="Z831" s="823"/>
      <c r="AA831" s="823"/>
    </row>
    <row r="832" spans="1:33" x14ac:dyDescent="0.25">
      <c r="A832" s="1035">
        <v>824</v>
      </c>
      <c r="B832" s="1035" t="s">
        <v>58</v>
      </c>
      <c r="C832" s="1035" t="s">
        <v>187</v>
      </c>
      <c r="D832" s="1129" t="s">
        <v>86</v>
      </c>
      <c r="E832" s="1130">
        <f>Wat03_10</f>
        <v>0</v>
      </c>
      <c r="I832" s="1029"/>
      <c r="K832" s="783"/>
      <c r="L832" s="800"/>
      <c r="M832" s="776"/>
      <c r="N832" s="801"/>
      <c r="O832" s="822"/>
      <c r="P832" s="822"/>
      <c r="Q832" s="822"/>
      <c r="R832" s="822"/>
      <c r="S832" s="822"/>
      <c r="T832" s="822"/>
      <c r="U832" s="822"/>
      <c r="V832" s="822"/>
      <c r="W832" s="822"/>
      <c r="X832" s="822"/>
      <c r="Y832" s="823"/>
      <c r="Z832" s="823"/>
      <c r="AA832" s="823"/>
    </row>
    <row r="833" spans="1:27" x14ac:dyDescent="0.25">
      <c r="A833" s="1035">
        <v>825</v>
      </c>
      <c r="B833" s="1035" t="s">
        <v>58</v>
      </c>
      <c r="C833" s="1035" t="s">
        <v>187</v>
      </c>
      <c r="D833" s="1131" t="s">
        <v>357</v>
      </c>
      <c r="E833" s="1128" t="s">
        <v>16</v>
      </c>
      <c r="I833" s="1029"/>
      <c r="K833" s="783"/>
      <c r="L833" s="800"/>
      <c r="M833" s="776"/>
      <c r="N833" s="801"/>
      <c r="O833" s="822"/>
      <c r="P833" s="822"/>
      <c r="Q833" s="822"/>
      <c r="R833" s="822"/>
      <c r="S833" s="822"/>
      <c r="T833" s="822"/>
      <c r="U833" s="822"/>
      <c r="V833" s="822"/>
      <c r="W833" s="822"/>
      <c r="X833" s="822"/>
      <c r="Y833" s="823"/>
      <c r="Z833" s="823"/>
      <c r="AA833" s="823"/>
    </row>
    <row r="834" spans="1:27" x14ac:dyDescent="0.25">
      <c r="A834" s="1035">
        <v>826</v>
      </c>
      <c r="B834" s="1035" t="s">
        <v>58</v>
      </c>
      <c r="C834" s="1035" t="s">
        <v>187</v>
      </c>
      <c r="D834" s="1132" t="s">
        <v>55</v>
      </c>
      <c r="E834" s="1133" t="s">
        <v>16</v>
      </c>
      <c r="F834" s="1134"/>
      <c r="G834" s="1135"/>
      <c r="I834" s="1029"/>
      <c r="K834" s="783"/>
      <c r="L834" s="800"/>
      <c r="M834" s="776"/>
      <c r="N834" s="801"/>
      <c r="O834" s="822"/>
      <c r="P834" s="822"/>
      <c r="Q834" s="822"/>
      <c r="R834" s="822"/>
      <c r="S834" s="822"/>
      <c r="T834" s="822"/>
      <c r="U834" s="822"/>
      <c r="V834" s="822"/>
      <c r="W834" s="822"/>
      <c r="X834" s="822"/>
      <c r="Y834" s="823"/>
      <c r="Z834" s="823"/>
      <c r="AA834" s="823"/>
    </row>
    <row r="835" spans="1:27" x14ac:dyDescent="0.25">
      <c r="A835" s="1035">
        <v>827</v>
      </c>
      <c r="B835" s="1035" t="s">
        <v>58</v>
      </c>
      <c r="C835" s="1035" t="s">
        <v>187</v>
      </c>
      <c r="I835" s="1029"/>
      <c r="K835" s="783"/>
      <c r="L835" s="800"/>
      <c r="M835" s="776"/>
      <c r="N835" s="801"/>
      <c r="O835" s="822"/>
      <c r="P835" s="822"/>
      <c r="Q835" s="822"/>
      <c r="R835" s="822"/>
      <c r="S835" s="822"/>
      <c r="T835" s="822"/>
      <c r="U835" s="822"/>
      <c r="V835" s="822"/>
      <c r="W835" s="822"/>
      <c r="X835" s="822"/>
      <c r="Y835" s="823"/>
      <c r="Z835" s="823"/>
      <c r="AA835" s="823"/>
    </row>
    <row r="836" spans="1:27" x14ac:dyDescent="0.25">
      <c r="A836" s="1035">
        <v>828</v>
      </c>
      <c r="B836" s="1035" t="s">
        <v>58</v>
      </c>
      <c r="C836" s="1035" t="s">
        <v>187</v>
      </c>
      <c r="D836" s="1136" t="s">
        <v>359</v>
      </c>
      <c r="E836" s="1136" t="s">
        <v>977</v>
      </c>
      <c r="F836" s="1136" t="str">
        <f>HLOOKUP(C836,'Assessment References'!$H$512:$BG$513,2,FALSE)</f>
        <v/>
      </c>
      <c r="G836" s="1137"/>
      <c r="H836" s="1138"/>
      <c r="I836" s="1029"/>
      <c r="K836" s="783"/>
      <c r="L836" s="800"/>
      <c r="M836" s="776"/>
      <c r="N836" s="801"/>
      <c r="O836" s="822"/>
      <c r="P836" s="822"/>
      <c r="Q836" s="822"/>
      <c r="R836" s="822"/>
      <c r="S836" s="822"/>
      <c r="T836" s="822"/>
      <c r="U836" s="822"/>
      <c r="V836" s="822"/>
      <c r="W836" s="822"/>
      <c r="X836" s="822"/>
      <c r="Y836" s="823"/>
      <c r="Z836" s="823"/>
      <c r="AA836" s="823"/>
    </row>
    <row r="837" spans="1:27" x14ac:dyDescent="0.25">
      <c r="A837" s="1035">
        <v>829</v>
      </c>
      <c r="B837" s="1035" t="s">
        <v>58</v>
      </c>
      <c r="C837" s="1035" t="s">
        <v>187</v>
      </c>
      <c r="D837" s="1363"/>
      <c r="E837" s="1352"/>
      <c r="F837" s="1352"/>
      <c r="G837" s="1352"/>
      <c r="H837" s="1353"/>
      <c r="I837" s="1029"/>
      <c r="K837" s="783"/>
      <c r="L837" s="800"/>
      <c r="M837" s="776"/>
      <c r="N837" s="801"/>
      <c r="O837" s="822"/>
      <c r="P837" s="822"/>
      <c r="Q837" s="822"/>
      <c r="R837" s="822"/>
      <c r="S837" s="822"/>
      <c r="T837" s="822"/>
      <c r="U837" s="822"/>
      <c r="V837" s="822"/>
      <c r="W837" s="822"/>
      <c r="X837" s="822"/>
      <c r="Y837" s="823"/>
      <c r="Z837" s="823"/>
      <c r="AA837" s="823"/>
    </row>
    <row r="838" spans="1:27" x14ac:dyDescent="0.25">
      <c r="A838" s="1035">
        <v>830</v>
      </c>
      <c r="B838" s="1035" t="s">
        <v>58</v>
      </c>
      <c r="C838" s="1035" t="s">
        <v>187</v>
      </c>
      <c r="D838" s="1354"/>
      <c r="E838" s="1355"/>
      <c r="F838" s="1355"/>
      <c r="G838" s="1355"/>
      <c r="H838" s="1356"/>
      <c r="I838" s="1029"/>
      <c r="K838" s="783"/>
      <c r="L838" s="800"/>
      <c r="M838" s="776"/>
      <c r="N838" s="801"/>
      <c r="O838" s="822"/>
      <c r="P838" s="822"/>
      <c r="Q838" s="822"/>
      <c r="R838" s="822"/>
      <c r="S838" s="822"/>
      <c r="T838" s="822"/>
      <c r="U838" s="822"/>
      <c r="V838" s="822"/>
      <c r="W838" s="822"/>
      <c r="X838" s="822"/>
      <c r="Y838" s="823"/>
      <c r="Z838" s="823"/>
      <c r="AA838" s="823"/>
    </row>
    <row r="839" spans="1:27" x14ac:dyDescent="0.25">
      <c r="A839" s="1035">
        <v>831</v>
      </c>
      <c r="B839" s="1035" t="s">
        <v>58</v>
      </c>
      <c r="C839" s="1035" t="s">
        <v>187</v>
      </c>
      <c r="D839" s="1354"/>
      <c r="E839" s="1355"/>
      <c r="F839" s="1355"/>
      <c r="G839" s="1355"/>
      <c r="H839" s="1356"/>
      <c r="I839" s="1029"/>
      <c r="K839" s="783"/>
      <c r="L839" s="800"/>
      <c r="M839" s="776"/>
      <c r="N839" s="801"/>
      <c r="O839" s="822"/>
      <c r="P839" s="822"/>
      <c r="Q839" s="822"/>
      <c r="R839" s="822"/>
      <c r="S839" s="822"/>
      <c r="T839" s="822"/>
      <c r="U839" s="822"/>
      <c r="V839" s="822"/>
      <c r="W839" s="822"/>
      <c r="X839" s="822"/>
      <c r="Y839" s="823"/>
      <c r="Z839" s="823"/>
      <c r="AA839" s="823"/>
    </row>
    <row r="840" spans="1:27" x14ac:dyDescent="0.25">
      <c r="A840" s="1035">
        <v>832</v>
      </c>
      <c r="B840" s="1035" t="s">
        <v>58</v>
      </c>
      <c r="C840" s="1035" t="s">
        <v>187</v>
      </c>
      <c r="D840" s="1364"/>
      <c r="E840" s="1358"/>
      <c r="F840" s="1358"/>
      <c r="G840" s="1358"/>
      <c r="H840" s="1359"/>
      <c r="I840" s="1029"/>
      <c r="K840" s="783"/>
      <c r="L840" s="800"/>
      <c r="M840" s="776"/>
      <c r="N840" s="801"/>
      <c r="O840" s="822"/>
      <c r="P840" s="822"/>
      <c r="Q840" s="822"/>
      <c r="R840" s="822"/>
      <c r="S840" s="822"/>
      <c r="T840" s="822"/>
      <c r="U840" s="822"/>
      <c r="V840" s="822"/>
      <c r="W840" s="822"/>
      <c r="X840" s="822"/>
      <c r="Y840" s="823"/>
      <c r="Z840" s="823"/>
      <c r="AA840" s="823"/>
    </row>
    <row r="841" spans="1:27" x14ac:dyDescent="0.25">
      <c r="A841" s="1035">
        <v>833</v>
      </c>
      <c r="B841" s="1035" t="s">
        <v>58</v>
      </c>
      <c r="C841" s="1035" t="s">
        <v>187</v>
      </c>
      <c r="D841" s="1364"/>
      <c r="E841" s="1358"/>
      <c r="F841" s="1358"/>
      <c r="G841" s="1358"/>
      <c r="H841" s="1359"/>
      <c r="I841" s="1029"/>
      <c r="K841" s="783"/>
      <c r="L841" s="800"/>
      <c r="M841" s="776"/>
      <c r="N841" s="801"/>
      <c r="O841" s="822"/>
      <c r="P841" s="822"/>
      <c r="Q841" s="822"/>
      <c r="R841" s="822"/>
      <c r="S841" s="822"/>
      <c r="T841" s="822"/>
      <c r="U841" s="822"/>
      <c r="V841" s="822"/>
      <c r="W841" s="822"/>
      <c r="X841" s="822"/>
      <c r="Y841" s="823"/>
      <c r="Z841" s="823"/>
      <c r="AA841" s="823"/>
    </row>
    <row r="842" spans="1:27" x14ac:dyDescent="0.25">
      <c r="A842" s="1035">
        <v>834</v>
      </c>
      <c r="B842" s="1035" t="s">
        <v>58</v>
      </c>
      <c r="C842" s="1035" t="s">
        <v>187</v>
      </c>
      <c r="D842" s="1360"/>
      <c r="E842" s="1361"/>
      <c r="F842" s="1361"/>
      <c r="G842" s="1361"/>
      <c r="H842" s="1362"/>
      <c r="I842" s="1029"/>
      <c r="K842" s="783"/>
      <c r="L842" s="800"/>
      <c r="M842" s="776"/>
      <c r="N842" s="801"/>
      <c r="O842" s="822"/>
      <c r="P842" s="822"/>
      <c r="Q842" s="822"/>
      <c r="R842" s="822"/>
      <c r="S842" s="822"/>
      <c r="T842" s="822"/>
      <c r="U842" s="822"/>
      <c r="V842" s="822"/>
      <c r="W842" s="822"/>
      <c r="X842" s="822"/>
      <c r="Y842" s="823"/>
      <c r="Z842" s="823"/>
      <c r="AA842" s="823"/>
    </row>
    <row r="843" spans="1:27" ht="15.75" thickBot="1" x14ac:dyDescent="0.3">
      <c r="A843" s="1035">
        <v>835</v>
      </c>
      <c r="B843" s="1035" t="s">
        <v>58</v>
      </c>
      <c r="C843" s="1035" t="s">
        <v>187</v>
      </c>
      <c r="I843" s="1029"/>
      <c r="K843" s="783"/>
      <c r="L843" s="800"/>
      <c r="M843" s="776"/>
      <c r="N843" s="801"/>
      <c r="O843" s="822"/>
      <c r="P843" s="822"/>
      <c r="Q843" s="822"/>
      <c r="R843" s="822"/>
      <c r="S843" s="822"/>
      <c r="T843" s="822"/>
      <c r="U843" s="822"/>
      <c r="V843" s="822"/>
      <c r="W843" s="822"/>
      <c r="X843" s="822"/>
      <c r="Y843" s="823"/>
      <c r="Z843" s="823"/>
      <c r="AA843" s="823"/>
    </row>
    <row r="844" spans="1:27" ht="15.75" thickBot="1" x14ac:dyDescent="0.3">
      <c r="A844" s="1037">
        <v>836</v>
      </c>
      <c r="B844" s="1037" t="s">
        <v>58</v>
      </c>
      <c r="C844" s="802" t="s">
        <v>188</v>
      </c>
      <c r="D844" s="1103" t="s">
        <v>912</v>
      </c>
      <c r="E844" s="1104"/>
      <c r="F844" s="1104"/>
      <c r="G844" s="1105"/>
      <c r="H844" s="1167" t="str">
        <f>IF(Wat04_credits=AIS_credit00,AIS_statement32,"")</f>
        <v>Assessment Issue Not Applicable</v>
      </c>
      <c r="I844" s="1029"/>
      <c r="K844" s="783"/>
      <c r="L844" s="804" t="str">
        <f>C844</f>
        <v>Wat 04</v>
      </c>
      <c r="M844" s="776"/>
      <c r="N844" s="801"/>
      <c r="O844" s="822"/>
      <c r="P844" s="822"/>
      <c r="Q844" s="822"/>
      <c r="R844" s="822"/>
      <c r="S844" s="822"/>
      <c r="T844" s="822"/>
      <c r="U844" s="822"/>
      <c r="V844" s="822"/>
      <c r="W844" s="822"/>
      <c r="X844" s="822"/>
      <c r="Y844" s="823"/>
      <c r="Z844" s="823"/>
      <c r="AA844" s="823"/>
    </row>
    <row r="845" spans="1:27" x14ac:dyDescent="0.25">
      <c r="A845" s="1035">
        <v>837</v>
      </c>
      <c r="B845" s="1035" t="s">
        <v>58</v>
      </c>
      <c r="C845" s="1035" t="s">
        <v>188</v>
      </c>
      <c r="D845" s="1107" t="s">
        <v>17</v>
      </c>
      <c r="E845" s="1108">
        <f>Wat04_credits</f>
        <v>0</v>
      </c>
      <c r="F845" s="1109"/>
      <c r="G845" s="1110" t="s">
        <v>85</v>
      </c>
      <c r="H845" s="1111">
        <f>Wat04_05</f>
        <v>0</v>
      </c>
      <c r="I845" s="1029"/>
      <c r="K845" s="783"/>
      <c r="L845" s="800"/>
      <c r="M845" s="776"/>
      <c r="N845" s="801"/>
      <c r="O845" s="822"/>
      <c r="P845" s="822"/>
      <c r="Q845" s="822"/>
      <c r="R845" s="822"/>
      <c r="S845" s="822"/>
      <c r="T845" s="822"/>
      <c r="U845" s="822"/>
      <c r="V845" s="822"/>
      <c r="W845" s="822"/>
      <c r="X845" s="822"/>
      <c r="Y845" s="823"/>
      <c r="Z845" s="823"/>
      <c r="AA845" s="823"/>
    </row>
    <row r="846" spans="1:27" x14ac:dyDescent="0.25">
      <c r="A846" s="1035">
        <v>838</v>
      </c>
      <c r="B846" s="1035" t="s">
        <v>58</v>
      </c>
      <c r="C846" s="1035" t="s">
        <v>188</v>
      </c>
      <c r="D846" s="1112" t="s">
        <v>349</v>
      </c>
      <c r="E846" s="1113">
        <v>0</v>
      </c>
      <c r="F846" s="1114"/>
      <c r="G846" s="1115" t="s">
        <v>350</v>
      </c>
      <c r="H846" s="1116" t="s">
        <v>15</v>
      </c>
      <c r="I846" s="1029"/>
      <c r="K846" s="783"/>
      <c r="L846" s="800"/>
      <c r="M846" s="776"/>
      <c r="N846" s="801"/>
      <c r="O846" s="822"/>
      <c r="P846" s="822"/>
      <c r="Q846" s="822"/>
      <c r="R846" s="822"/>
      <c r="S846" s="822"/>
      <c r="T846" s="822"/>
      <c r="U846" s="822"/>
      <c r="V846" s="822"/>
      <c r="W846" s="822"/>
      <c r="X846" s="822"/>
      <c r="Y846" s="823"/>
      <c r="Z846" s="823"/>
      <c r="AA846" s="823"/>
    </row>
    <row r="847" spans="1:27" x14ac:dyDescent="0.25">
      <c r="A847" s="1035">
        <v>839</v>
      </c>
      <c r="B847" s="1035" t="s">
        <v>58</v>
      </c>
      <c r="C847" s="1035" t="s">
        <v>188</v>
      </c>
      <c r="I847" s="1029"/>
      <c r="K847" s="783"/>
      <c r="L847" s="800"/>
      <c r="M847" s="776"/>
      <c r="N847" s="801"/>
      <c r="O847" s="822"/>
      <c r="P847" s="822"/>
      <c r="Q847" s="822"/>
      <c r="R847" s="822"/>
      <c r="S847" s="822"/>
      <c r="T847" s="822"/>
      <c r="U847" s="822"/>
      <c r="V847" s="822"/>
      <c r="W847" s="822"/>
      <c r="X847" s="822"/>
      <c r="Y847" s="823"/>
      <c r="Z847" s="823"/>
      <c r="AA847" s="823"/>
    </row>
    <row r="848" spans="1:27" ht="15.75" thickBot="1" x14ac:dyDescent="0.3">
      <c r="A848" s="1035">
        <v>840</v>
      </c>
      <c r="B848" s="1035" t="s">
        <v>58</v>
      </c>
      <c r="C848" s="1035" t="s">
        <v>188</v>
      </c>
      <c r="D848" s="1117" t="s">
        <v>351</v>
      </c>
      <c r="E848" s="1118" t="s">
        <v>352</v>
      </c>
      <c r="F848" s="1118" t="s">
        <v>353</v>
      </c>
      <c r="G848" s="1118" t="s">
        <v>354</v>
      </c>
      <c r="H848" s="1118" t="s">
        <v>355</v>
      </c>
      <c r="I848" s="1029"/>
      <c r="K848" s="783"/>
      <c r="L848" s="800"/>
      <c r="M848" s="776"/>
      <c r="N848" s="801"/>
      <c r="O848" s="822"/>
      <c r="P848" s="822"/>
      <c r="Q848" s="822"/>
      <c r="R848" s="822"/>
      <c r="S848" s="822"/>
      <c r="T848" s="822"/>
      <c r="U848" s="822"/>
      <c r="V848" s="822"/>
      <c r="W848" s="822"/>
      <c r="X848" s="822"/>
      <c r="Y848" s="823"/>
      <c r="Z848" s="823"/>
      <c r="AA848" s="823"/>
    </row>
    <row r="849" spans="1:27" ht="15.75" thickBot="1" x14ac:dyDescent="0.3">
      <c r="A849" s="1035">
        <v>841</v>
      </c>
      <c r="B849" s="1035" t="s">
        <v>58</v>
      </c>
      <c r="C849" s="1035" t="s">
        <v>188</v>
      </c>
      <c r="D849" s="1142" t="s">
        <v>433</v>
      </c>
      <c r="E849" s="1098" t="s">
        <v>360</v>
      </c>
      <c r="F849" s="1143">
        <f>E845</f>
        <v>0</v>
      </c>
      <c r="G849" s="1143">
        <f>IF(E849=AIS_Yes,F849,0)</f>
        <v>0</v>
      </c>
      <c r="H849" s="1327" t="s">
        <v>16</v>
      </c>
      <c r="I849" s="1029"/>
      <c r="K849" s="783"/>
      <c r="L849" s="800"/>
      <c r="M849" s="776"/>
      <c r="N849" s="801"/>
      <c r="O849" s="102" t="s">
        <v>1273</v>
      </c>
      <c r="P849" s="822"/>
      <c r="Q849" s="822"/>
      <c r="R849" s="822"/>
      <c r="S849" s="822"/>
      <c r="T849" s="822"/>
      <c r="U849" s="822" t="str">
        <f>$T$4</f>
        <v>No</v>
      </c>
      <c r="V849" s="822"/>
      <c r="W849" s="822"/>
      <c r="X849" s="822"/>
      <c r="Y849" s="823"/>
      <c r="Z849" s="823"/>
      <c r="AA849" s="823"/>
    </row>
    <row r="850" spans="1:27" x14ac:dyDescent="0.25">
      <c r="A850" s="1035">
        <v>842</v>
      </c>
      <c r="B850" s="1035" t="s">
        <v>58</v>
      </c>
      <c r="C850" s="1035" t="s">
        <v>188</v>
      </c>
      <c r="E850" s="1144"/>
      <c r="I850" s="1029"/>
      <c r="K850" s="783"/>
      <c r="L850" s="800"/>
      <c r="M850" s="776"/>
      <c r="N850" s="801"/>
      <c r="O850" s="822"/>
      <c r="P850" s="822"/>
      <c r="Q850" s="822"/>
      <c r="R850" s="822"/>
      <c r="S850" s="822"/>
      <c r="T850" s="822"/>
      <c r="U850" s="822"/>
      <c r="V850" s="822"/>
      <c r="W850" s="822"/>
      <c r="X850" s="822"/>
      <c r="Y850" s="823"/>
      <c r="Z850" s="823"/>
      <c r="AA850" s="823"/>
    </row>
    <row r="851" spans="1:27" x14ac:dyDescent="0.25">
      <c r="A851" s="1035">
        <v>843</v>
      </c>
      <c r="B851" s="1035" t="s">
        <v>58</v>
      </c>
      <c r="C851" s="1035" t="s">
        <v>188</v>
      </c>
      <c r="D851" s="1127" t="s">
        <v>356</v>
      </c>
      <c r="E851" s="1128">
        <f>G849</f>
        <v>0</v>
      </c>
      <c r="I851" s="1029"/>
      <c r="K851" s="783"/>
      <c r="L851" s="800"/>
      <c r="M851" s="776"/>
      <c r="N851" s="801"/>
      <c r="O851" s="822"/>
      <c r="P851" s="822"/>
      <c r="Q851" s="822"/>
      <c r="R851" s="822"/>
      <c r="S851" s="822"/>
      <c r="T851" s="822"/>
      <c r="U851" s="822"/>
      <c r="V851" s="822"/>
      <c r="W851" s="822"/>
      <c r="X851" s="822"/>
      <c r="Y851" s="823"/>
      <c r="Z851" s="823"/>
      <c r="AA851" s="823"/>
    </row>
    <row r="852" spans="1:27" x14ac:dyDescent="0.25">
      <c r="A852" s="1035">
        <v>844</v>
      </c>
      <c r="B852" s="1035" t="s">
        <v>58</v>
      </c>
      <c r="C852" s="1035" t="s">
        <v>188</v>
      </c>
      <c r="D852" s="1129" t="s">
        <v>86</v>
      </c>
      <c r="E852" s="1130">
        <f>Wat04_06</f>
        <v>0</v>
      </c>
      <c r="I852" s="1029"/>
      <c r="K852" s="783"/>
      <c r="L852" s="800"/>
      <c r="M852" s="776"/>
      <c r="N852" s="801"/>
      <c r="O852" s="822"/>
      <c r="P852" s="822"/>
      <c r="Q852" s="822"/>
      <c r="R852" s="822"/>
      <c r="S852" s="822"/>
      <c r="T852" s="822"/>
      <c r="U852" s="822"/>
      <c r="V852" s="822"/>
      <c r="W852" s="822"/>
      <c r="X852" s="822"/>
      <c r="Y852" s="823"/>
      <c r="Z852" s="823"/>
      <c r="AA852" s="823"/>
    </row>
    <row r="853" spans="1:27" x14ac:dyDescent="0.25">
      <c r="A853" s="1035">
        <v>845</v>
      </c>
      <c r="B853" s="1035" t="s">
        <v>58</v>
      </c>
      <c r="C853" s="1035" t="s">
        <v>188</v>
      </c>
      <c r="D853" s="1131" t="s">
        <v>357</v>
      </c>
      <c r="E853" s="1128" t="s">
        <v>16</v>
      </c>
      <c r="I853" s="1029"/>
      <c r="K853" s="783"/>
      <c r="L853" s="800"/>
      <c r="M853" s="776"/>
      <c r="N853" s="801"/>
      <c r="O853" s="822"/>
      <c r="P853" s="822"/>
      <c r="Q853" s="822"/>
      <c r="R853" s="822"/>
      <c r="S853" s="822"/>
      <c r="T853" s="822"/>
      <c r="U853" s="822"/>
      <c r="V853" s="822"/>
      <c r="W853" s="822"/>
      <c r="X853" s="822"/>
      <c r="Y853" s="823"/>
      <c r="Z853" s="823"/>
      <c r="AA853" s="823"/>
    </row>
    <row r="854" spans="1:27" x14ac:dyDescent="0.25">
      <c r="A854" s="1035">
        <v>846</v>
      </c>
      <c r="B854" s="1035" t="s">
        <v>58</v>
      </c>
      <c r="C854" s="1035" t="s">
        <v>188</v>
      </c>
      <c r="D854" s="1132" t="s">
        <v>55</v>
      </c>
      <c r="E854" s="1133" t="s">
        <v>16</v>
      </c>
      <c r="F854" s="1134"/>
      <c r="G854" s="1135"/>
      <c r="I854" s="1029"/>
      <c r="K854" s="783"/>
      <c r="L854" s="800"/>
      <c r="M854" s="776"/>
      <c r="N854" s="801"/>
      <c r="O854" s="822"/>
      <c r="P854" s="822"/>
      <c r="Q854" s="822"/>
      <c r="R854" s="822"/>
      <c r="S854" s="822"/>
      <c r="T854" s="822"/>
      <c r="U854" s="822"/>
      <c r="V854" s="822"/>
      <c r="W854" s="822"/>
      <c r="X854" s="822"/>
      <c r="Y854" s="823"/>
      <c r="Z854" s="823"/>
      <c r="AA854" s="823"/>
    </row>
    <row r="855" spans="1:27" x14ac:dyDescent="0.25">
      <c r="A855" s="1035">
        <v>847</v>
      </c>
      <c r="B855" s="1035" t="s">
        <v>58</v>
      </c>
      <c r="C855" s="1035" t="s">
        <v>188</v>
      </c>
      <c r="I855" s="1029"/>
      <c r="K855" s="783"/>
      <c r="L855" s="800"/>
      <c r="M855" s="776"/>
      <c r="N855" s="801"/>
      <c r="O855" s="822"/>
      <c r="P855" s="822"/>
      <c r="Q855" s="822"/>
      <c r="R855" s="822"/>
      <c r="S855" s="822"/>
      <c r="T855" s="822"/>
      <c r="U855" s="822"/>
      <c r="V855" s="822"/>
      <c r="W855" s="822"/>
      <c r="X855" s="822"/>
      <c r="Y855" s="823"/>
      <c r="Z855" s="823"/>
      <c r="AA855" s="823"/>
    </row>
    <row r="856" spans="1:27" x14ac:dyDescent="0.25">
      <c r="A856" s="1035">
        <v>848</v>
      </c>
      <c r="B856" s="1035" t="s">
        <v>58</v>
      </c>
      <c r="C856" s="1035" t="s">
        <v>188</v>
      </c>
      <c r="D856" s="1136" t="s">
        <v>359</v>
      </c>
      <c r="E856" s="1136" t="s">
        <v>977</v>
      </c>
      <c r="F856" s="1136" t="str">
        <f>HLOOKUP(C856,'Assessment References'!$H$512:$BG$513,2,FALSE)</f>
        <v/>
      </c>
      <c r="G856" s="1137"/>
      <c r="H856" s="1138"/>
      <c r="I856" s="1029"/>
      <c r="K856" s="783"/>
      <c r="L856" s="800"/>
      <c r="M856" s="776"/>
      <c r="N856" s="801"/>
      <c r="O856" s="822"/>
      <c r="P856" s="822"/>
      <c r="Q856" s="822"/>
      <c r="R856" s="822"/>
      <c r="S856" s="822"/>
      <c r="T856" s="822"/>
      <c r="U856" s="822"/>
      <c r="V856" s="822"/>
      <c r="W856" s="822"/>
      <c r="X856" s="822"/>
      <c r="Y856" s="823"/>
      <c r="Z856" s="823"/>
      <c r="AA856" s="823"/>
    </row>
    <row r="857" spans="1:27" x14ac:dyDescent="0.25">
      <c r="A857" s="1035">
        <v>849</v>
      </c>
      <c r="B857" s="1035" t="s">
        <v>58</v>
      </c>
      <c r="C857" s="1035" t="s">
        <v>188</v>
      </c>
      <c r="D857" s="1363"/>
      <c r="E857" s="1352"/>
      <c r="F857" s="1352"/>
      <c r="G857" s="1352"/>
      <c r="H857" s="1353"/>
      <c r="I857" s="1029"/>
      <c r="K857" s="783"/>
      <c r="L857" s="800"/>
      <c r="M857" s="776"/>
      <c r="N857" s="801"/>
      <c r="O857" s="822"/>
      <c r="P857" s="822"/>
      <c r="Q857" s="822"/>
      <c r="R857" s="822"/>
      <c r="S857" s="822"/>
      <c r="T857" s="822"/>
      <c r="U857" s="822"/>
      <c r="V857" s="822"/>
      <c r="W857" s="822"/>
      <c r="X857" s="822"/>
      <c r="Y857" s="823"/>
      <c r="Z857" s="823"/>
      <c r="AA857" s="823"/>
    </row>
    <row r="858" spans="1:27" x14ac:dyDescent="0.25">
      <c r="A858" s="1035">
        <v>850</v>
      </c>
      <c r="B858" s="1035" t="s">
        <v>58</v>
      </c>
      <c r="C858" s="1035" t="s">
        <v>188</v>
      </c>
      <c r="D858" s="1354"/>
      <c r="E858" s="1355"/>
      <c r="F858" s="1355"/>
      <c r="G858" s="1355"/>
      <c r="H858" s="1356"/>
      <c r="I858" s="1029"/>
      <c r="K858" s="783"/>
      <c r="L858" s="800"/>
      <c r="M858" s="776"/>
      <c r="N858" s="801"/>
      <c r="O858" s="822"/>
      <c r="P858" s="822"/>
      <c r="Q858" s="822"/>
      <c r="R858" s="822"/>
      <c r="S858" s="822"/>
      <c r="T858" s="822"/>
      <c r="U858" s="822"/>
      <c r="V858" s="822"/>
      <c r="W858" s="822"/>
      <c r="X858" s="822"/>
      <c r="Y858" s="823"/>
      <c r="Z858" s="823"/>
      <c r="AA858" s="823"/>
    </row>
    <row r="859" spans="1:27" x14ac:dyDescent="0.25">
      <c r="A859" s="1035">
        <v>851</v>
      </c>
      <c r="B859" s="1035" t="s">
        <v>58</v>
      </c>
      <c r="C859" s="1035" t="s">
        <v>188</v>
      </c>
      <c r="D859" s="1354"/>
      <c r="E859" s="1355"/>
      <c r="F859" s="1355"/>
      <c r="G859" s="1355"/>
      <c r="H859" s="1356"/>
      <c r="I859" s="1029"/>
      <c r="K859" s="783"/>
      <c r="L859" s="800"/>
      <c r="M859" s="776"/>
      <c r="N859" s="801"/>
      <c r="O859" s="822"/>
      <c r="P859" s="822"/>
      <c r="Q859" s="822"/>
      <c r="R859" s="822"/>
      <c r="S859" s="822"/>
      <c r="T859" s="822"/>
      <c r="U859" s="822"/>
      <c r="V859" s="822"/>
      <c r="W859" s="822"/>
      <c r="X859" s="822"/>
      <c r="Y859" s="823"/>
      <c r="Z859" s="823"/>
      <c r="AA859" s="823"/>
    </row>
    <row r="860" spans="1:27" x14ac:dyDescent="0.25">
      <c r="A860" s="1035">
        <v>852</v>
      </c>
      <c r="B860" s="1035" t="s">
        <v>58</v>
      </c>
      <c r="C860" s="1035" t="s">
        <v>188</v>
      </c>
      <c r="D860" s="1364"/>
      <c r="E860" s="1358"/>
      <c r="F860" s="1358"/>
      <c r="G860" s="1358"/>
      <c r="H860" s="1359"/>
      <c r="I860" s="1029"/>
      <c r="K860" s="783"/>
      <c r="L860" s="800"/>
      <c r="M860" s="776"/>
      <c r="N860" s="801"/>
      <c r="O860" s="822"/>
      <c r="P860" s="822"/>
      <c r="Q860" s="822"/>
      <c r="R860" s="822"/>
      <c r="S860" s="822"/>
      <c r="T860" s="822"/>
      <c r="U860" s="822"/>
      <c r="V860" s="822"/>
      <c r="W860" s="822"/>
      <c r="X860" s="822"/>
      <c r="Y860" s="823"/>
      <c r="Z860" s="823"/>
      <c r="AA860" s="823"/>
    </row>
    <row r="861" spans="1:27" x14ac:dyDescent="0.25">
      <c r="A861" s="1035">
        <v>853</v>
      </c>
      <c r="B861" s="1035" t="s">
        <v>58</v>
      </c>
      <c r="C861" s="1035" t="s">
        <v>188</v>
      </c>
      <c r="D861" s="1364"/>
      <c r="E861" s="1358"/>
      <c r="F861" s="1358"/>
      <c r="G861" s="1358"/>
      <c r="H861" s="1359"/>
      <c r="I861" s="1029"/>
      <c r="K861" s="783"/>
      <c r="L861" s="800"/>
      <c r="M861" s="776"/>
      <c r="N861" s="801"/>
      <c r="O861" s="822"/>
      <c r="P861" s="822"/>
      <c r="Q861" s="822"/>
      <c r="R861" s="822"/>
      <c r="S861" s="822"/>
      <c r="T861" s="822"/>
      <c r="U861" s="822"/>
      <c r="V861" s="822"/>
      <c r="W861" s="822"/>
      <c r="X861" s="822"/>
      <c r="Y861" s="823"/>
      <c r="Z861" s="823"/>
      <c r="AA861" s="823"/>
    </row>
    <row r="862" spans="1:27" x14ac:dyDescent="0.25">
      <c r="A862" s="1035">
        <v>854</v>
      </c>
      <c r="B862" s="1035" t="s">
        <v>58</v>
      </c>
      <c r="C862" s="1035" t="s">
        <v>188</v>
      </c>
      <c r="D862" s="1360"/>
      <c r="E862" s="1361"/>
      <c r="F862" s="1361"/>
      <c r="G862" s="1361"/>
      <c r="H862" s="1362"/>
      <c r="I862" s="1029"/>
      <c r="K862" s="783"/>
      <c r="L862" s="800"/>
      <c r="M862" s="776"/>
      <c r="N862" s="801"/>
      <c r="O862" s="822"/>
      <c r="P862" s="822"/>
      <c r="Q862" s="822"/>
      <c r="R862" s="822"/>
      <c r="S862" s="822"/>
      <c r="T862" s="822"/>
      <c r="U862" s="822"/>
      <c r="V862" s="822"/>
      <c r="W862" s="822"/>
      <c r="X862" s="822"/>
      <c r="Y862" s="823"/>
      <c r="Z862" s="823"/>
      <c r="AA862" s="823"/>
    </row>
    <row r="863" spans="1:27" x14ac:dyDescent="0.25">
      <c r="A863" s="1035">
        <v>855</v>
      </c>
      <c r="B863" s="1035" t="s">
        <v>58</v>
      </c>
      <c r="C863" s="1035" t="s">
        <v>188</v>
      </c>
      <c r="I863" s="1029"/>
      <c r="K863" s="783"/>
      <c r="L863" s="800"/>
      <c r="M863" s="776"/>
      <c r="N863" s="801"/>
      <c r="O863" s="822"/>
      <c r="P863" s="822"/>
      <c r="Q863" s="822"/>
      <c r="R863" s="822"/>
      <c r="S863" s="822"/>
      <c r="T863" s="822"/>
      <c r="U863" s="822"/>
      <c r="V863" s="822"/>
      <c r="W863" s="822"/>
      <c r="X863" s="822"/>
      <c r="Y863" s="823"/>
      <c r="Z863" s="823"/>
      <c r="AA863" s="823"/>
    </row>
    <row r="864" spans="1:27" ht="18.75" x14ac:dyDescent="0.3">
      <c r="A864" s="1041">
        <v>856</v>
      </c>
      <c r="B864" s="1032" t="s">
        <v>59</v>
      </c>
      <c r="C864" s="1033"/>
      <c r="D864" s="1154"/>
      <c r="E864" s="1154"/>
      <c r="F864" s="1154"/>
      <c r="G864" s="1154"/>
      <c r="H864" s="1155"/>
      <c r="I864" s="1029"/>
      <c r="K864" s="783"/>
      <c r="L864" s="800"/>
      <c r="M864" s="776"/>
      <c r="N864" s="801"/>
      <c r="O864" s="822"/>
      <c r="P864" s="822"/>
      <c r="Q864" s="822"/>
      <c r="R864" s="822"/>
      <c r="S864" s="822"/>
      <c r="T864" s="822"/>
      <c r="U864" s="822"/>
      <c r="V864" s="822"/>
      <c r="W864" s="822"/>
      <c r="X864" s="822"/>
      <c r="Y864" s="823"/>
      <c r="Z864" s="823"/>
      <c r="AA864" s="823"/>
    </row>
    <row r="865" spans="1:27" ht="15.75" thickBot="1" x14ac:dyDescent="0.3">
      <c r="A865" s="1035">
        <v>857</v>
      </c>
      <c r="B865" s="1035" t="s">
        <v>59</v>
      </c>
      <c r="C865" s="1029"/>
      <c r="I865" s="1029"/>
      <c r="K865" s="783"/>
      <c r="L865" s="800"/>
      <c r="M865" s="776"/>
      <c r="N865" s="801"/>
      <c r="O865" s="822"/>
      <c r="P865" s="822"/>
      <c r="Q865" s="822"/>
      <c r="R865" s="822"/>
      <c r="S865" s="822"/>
      <c r="T865" s="822"/>
      <c r="U865" s="822"/>
      <c r="V865" s="822"/>
      <c r="W865" s="822"/>
      <c r="X865" s="822"/>
      <c r="Y865" s="823"/>
      <c r="Z865" s="823"/>
      <c r="AA865" s="823"/>
    </row>
    <row r="866" spans="1:27" ht="15.75" thickBot="1" x14ac:dyDescent="0.3">
      <c r="A866" s="1039">
        <v>858</v>
      </c>
      <c r="B866" s="1039" t="s">
        <v>59</v>
      </c>
      <c r="C866" s="827" t="s">
        <v>189</v>
      </c>
      <c r="D866" s="1103" t="s">
        <v>913</v>
      </c>
      <c r="E866" s="1104"/>
      <c r="F866" s="1104"/>
      <c r="G866" s="1105"/>
      <c r="H866" s="1105"/>
      <c r="I866" s="1029"/>
      <c r="K866" s="783"/>
      <c r="L866" s="804" t="str">
        <f>C866</f>
        <v>Mat 01</v>
      </c>
      <c r="M866" s="776"/>
      <c r="N866" s="801"/>
      <c r="O866" s="822"/>
      <c r="P866" s="822"/>
      <c r="Q866" s="822"/>
      <c r="R866" s="822"/>
      <c r="S866" s="822"/>
      <c r="T866" s="822"/>
      <c r="U866" s="822"/>
      <c r="V866" s="822"/>
      <c r="W866" s="822"/>
      <c r="X866" s="822"/>
      <c r="Y866" s="823"/>
      <c r="Z866" s="823"/>
      <c r="AA866" s="823"/>
    </row>
    <row r="867" spans="1:27" x14ac:dyDescent="0.25">
      <c r="A867" s="1035">
        <v>859</v>
      </c>
      <c r="B867" s="1035" t="s">
        <v>59</v>
      </c>
      <c r="C867" s="1035" t="s">
        <v>189</v>
      </c>
      <c r="D867" s="1107" t="s">
        <v>17</v>
      </c>
      <c r="E867" s="1108">
        <f>Mat01_credits</f>
        <v>7</v>
      </c>
      <c r="F867" s="1109"/>
      <c r="G867" s="1110" t="s">
        <v>85</v>
      </c>
      <c r="H867" s="1111">
        <f>Mat01_27</f>
        <v>8.5909090909090921E-2</v>
      </c>
      <c r="I867" s="824"/>
      <c r="J867" s="824"/>
      <c r="K867" s="783"/>
      <c r="L867" s="810" t="s">
        <v>725</v>
      </c>
      <c r="M867" s="776"/>
      <c r="N867" s="801"/>
      <c r="O867" s="822"/>
      <c r="P867" s="822"/>
      <c r="Q867" s="822"/>
      <c r="R867" s="822"/>
      <c r="S867" s="822"/>
      <c r="T867" s="822"/>
      <c r="U867" s="822"/>
      <c r="V867" s="822"/>
      <c r="W867" s="822"/>
      <c r="X867" s="822"/>
      <c r="Y867" s="823"/>
      <c r="Z867" s="823"/>
      <c r="AA867" s="823"/>
    </row>
    <row r="868" spans="1:27" ht="15.75" thickBot="1" x14ac:dyDescent="0.3">
      <c r="A868" s="1035">
        <v>860</v>
      </c>
      <c r="B868" s="1035" t="s">
        <v>59</v>
      </c>
      <c r="C868" s="1035" t="s">
        <v>189</v>
      </c>
      <c r="D868" s="1112" t="s">
        <v>349</v>
      </c>
      <c r="E868" s="1113">
        <f>Inn05_credits</f>
        <v>2</v>
      </c>
      <c r="F868" s="1114"/>
      <c r="G868" s="1115" t="s">
        <v>350</v>
      </c>
      <c r="H868" s="1116" t="s">
        <v>14</v>
      </c>
      <c r="I868" s="1029"/>
      <c r="K868" s="783"/>
      <c r="L868" s="816">
        <f>IF(OR(E877=L874,G874=0),0,IF(E877&gt;2,(E868/2),0))</f>
        <v>0</v>
      </c>
      <c r="M868" s="776"/>
      <c r="N868" s="801"/>
      <c r="O868" s="822"/>
      <c r="P868" s="822"/>
      <c r="Q868" s="822"/>
      <c r="R868" s="822"/>
      <c r="S868" s="822"/>
      <c r="T868" s="822"/>
      <c r="U868" s="822"/>
      <c r="V868" s="822"/>
      <c r="W868" s="822"/>
      <c r="X868" s="822"/>
      <c r="Y868" s="823"/>
      <c r="Z868" s="823"/>
      <c r="AA868" s="823"/>
    </row>
    <row r="869" spans="1:27" ht="15.75" thickBot="1" x14ac:dyDescent="0.3">
      <c r="A869" s="1035">
        <v>861</v>
      </c>
      <c r="B869" s="1035" t="s">
        <v>59</v>
      </c>
      <c r="C869" s="1035" t="s">
        <v>189</v>
      </c>
      <c r="I869" s="1029"/>
      <c r="K869" s="783"/>
      <c r="L869" s="815">
        <f>IF(E880&gt;14,2,IF(E880&gt;9,1,0))</f>
        <v>2</v>
      </c>
      <c r="M869" s="776"/>
      <c r="N869" s="801"/>
      <c r="O869" s="822"/>
      <c r="P869" s="822"/>
      <c r="Q869" s="822"/>
      <c r="R869" s="822"/>
      <c r="S869" s="822"/>
      <c r="T869" s="822"/>
      <c r="U869" s="822"/>
      <c r="V869" s="822"/>
      <c r="W869" s="822"/>
      <c r="X869" s="822"/>
      <c r="Y869" s="823"/>
      <c r="Z869" s="823"/>
      <c r="AA869" s="823"/>
    </row>
    <row r="870" spans="1:27" ht="15.75" thickBot="1" x14ac:dyDescent="0.3">
      <c r="A870" s="1035">
        <v>862</v>
      </c>
      <c r="B870" s="1035" t="s">
        <v>59</v>
      </c>
      <c r="C870" s="1035" t="s">
        <v>189</v>
      </c>
      <c r="D870" s="1117" t="s">
        <v>719</v>
      </c>
      <c r="E870" s="1118" t="s">
        <v>352</v>
      </c>
      <c r="H870" s="1118" t="s">
        <v>355</v>
      </c>
      <c r="I870" s="1029"/>
      <c r="K870" s="783"/>
      <c r="L870" s="815">
        <f>IF(E888=Options!Q3,0,IF(E888&gt;0.74,2,IF(E888&gt;0.09,1,0)))</f>
        <v>0</v>
      </c>
      <c r="M870" s="776"/>
      <c r="N870" s="801"/>
      <c r="O870" s="822"/>
      <c r="P870" s="822"/>
      <c r="Q870" s="822"/>
      <c r="R870" s="822"/>
      <c r="S870" s="822"/>
      <c r="T870" s="822"/>
      <c r="U870" s="822"/>
      <c r="V870" s="822"/>
      <c r="W870" s="822"/>
      <c r="X870" s="822"/>
      <c r="Y870" s="823"/>
      <c r="Z870" s="823"/>
      <c r="AA870" s="823"/>
    </row>
    <row r="871" spans="1:27" ht="15.75" thickBot="1" x14ac:dyDescent="0.3">
      <c r="A871" s="1035">
        <v>863</v>
      </c>
      <c r="B871" s="1035" t="s">
        <v>59</v>
      </c>
      <c r="C871" s="1035" t="s">
        <v>189</v>
      </c>
      <c r="D871" s="1142" t="s">
        <v>720</v>
      </c>
      <c r="E871" s="1098" t="s">
        <v>14</v>
      </c>
      <c r="F871" s="1145" t="str">
        <f>IF(OR(E871=AIS_No,E871=AIS_PS),"Pre-requisite: Please select yes","")</f>
        <v/>
      </c>
      <c r="H871" s="1327" t="s">
        <v>16</v>
      </c>
      <c r="I871" s="1029"/>
      <c r="K871" s="783"/>
      <c r="L871" s="815">
        <f>IF(G885=0,0,IF(E888=Options!Q3,0,IF(E888&gt;0.84,(E868/2),0)))</f>
        <v>0</v>
      </c>
      <c r="M871" s="776"/>
      <c r="N871" s="801"/>
      <c r="O871" s="102" t="s">
        <v>1273</v>
      </c>
      <c r="P871" s="822"/>
      <c r="Q871" s="822"/>
      <c r="R871" s="822"/>
      <c r="S871" s="822"/>
      <c r="T871" s="822"/>
      <c r="U871" s="822" t="str">
        <f>$T$4</f>
        <v>No</v>
      </c>
      <c r="V871" s="822"/>
      <c r="W871" s="822"/>
      <c r="X871" s="822"/>
      <c r="Y871" s="823"/>
      <c r="Z871" s="823"/>
      <c r="AA871" s="823"/>
    </row>
    <row r="872" spans="1:27" ht="15.75" thickBot="1" x14ac:dyDescent="0.3">
      <c r="A872" s="1035">
        <v>864</v>
      </c>
      <c r="B872" s="1035" t="s">
        <v>59</v>
      </c>
      <c r="C872" s="1035" t="s">
        <v>189</v>
      </c>
      <c r="I872" s="1029"/>
      <c r="K872" s="783"/>
      <c r="L872" s="815">
        <f>IF(E891=AIS_No,0,IF(E892=Options!Q3,0,IF(E892&lt;0.2,0,IF(E892&lt;0.4,1,2))))</f>
        <v>0</v>
      </c>
      <c r="M872" s="776"/>
      <c r="N872" s="801"/>
      <c r="O872" s="822"/>
      <c r="P872" s="822"/>
      <c r="Q872" s="822"/>
      <c r="R872" s="822"/>
      <c r="S872" s="822"/>
      <c r="T872" s="822"/>
      <c r="U872" s="822"/>
      <c r="V872" s="822"/>
      <c r="W872" s="822"/>
      <c r="X872" s="822"/>
      <c r="Y872" s="823"/>
      <c r="Z872" s="823"/>
      <c r="AA872" s="823"/>
    </row>
    <row r="873" spans="1:27" ht="15.75" thickBot="1" x14ac:dyDescent="0.3">
      <c r="A873" s="1035">
        <v>865</v>
      </c>
      <c r="B873" s="1035" t="s">
        <v>59</v>
      </c>
      <c r="C873" s="1035" t="s">
        <v>189</v>
      </c>
      <c r="D873" s="1117" t="s">
        <v>721</v>
      </c>
      <c r="E873" s="1118" t="s">
        <v>352</v>
      </c>
      <c r="F873" s="1118" t="s">
        <v>353</v>
      </c>
      <c r="G873" s="1118" t="s">
        <v>354</v>
      </c>
      <c r="I873" s="1029"/>
      <c r="K873" s="783"/>
      <c r="L873" s="818"/>
      <c r="M873" s="776"/>
      <c r="N873" s="801"/>
      <c r="O873" s="822"/>
      <c r="P873" s="822"/>
      <c r="Q873" s="822"/>
      <c r="R873" s="822"/>
      <c r="S873" s="822"/>
      <c r="T873" s="822"/>
      <c r="U873" s="822"/>
      <c r="V873" s="822"/>
      <c r="W873" s="822"/>
      <c r="X873" s="822"/>
      <c r="Y873" s="823"/>
      <c r="Z873" s="823"/>
      <c r="AA873" s="823"/>
    </row>
    <row r="874" spans="1:27" ht="15.75" thickBot="1" x14ac:dyDescent="0.3">
      <c r="A874" s="1035">
        <v>866</v>
      </c>
      <c r="B874" s="1035" t="s">
        <v>59</v>
      </c>
      <c r="C874" s="1035" t="s">
        <v>189</v>
      </c>
      <c r="D874" s="1119" t="s">
        <v>722</v>
      </c>
      <c r="E874" s="1093" t="s">
        <v>360</v>
      </c>
      <c r="F874" s="1143">
        <f>IF(F871="",1,0)</f>
        <v>1</v>
      </c>
      <c r="G874" s="1143">
        <f>IF(F874=0,0,IF(KPI_24=L874,0,IF(AND(E874=AIS_Yes,E875=AIS_Yes,E876&gt;14),1,0)))</f>
        <v>0</v>
      </c>
      <c r="I874" s="1029"/>
      <c r="K874" s="783"/>
      <c r="L874" s="815" t="s">
        <v>360</v>
      </c>
      <c r="M874" s="776"/>
      <c r="N874" s="801"/>
      <c r="O874" s="822"/>
      <c r="P874" s="822"/>
      <c r="Q874" s="822"/>
      <c r="R874" s="822"/>
      <c r="S874" s="822"/>
      <c r="T874" s="822"/>
      <c r="U874" s="822"/>
      <c r="V874" s="822"/>
      <c r="W874" s="822"/>
      <c r="X874" s="822"/>
      <c r="Y874" s="823"/>
      <c r="Z874" s="823"/>
      <c r="AA874" s="823"/>
    </row>
    <row r="875" spans="1:27" x14ac:dyDescent="0.25">
      <c r="A875" s="1035">
        <v>867</v>
      </c>
      <c r="B875" s="1035" t="s">
        <v>59</v>
      </c>
      <c r="C875" s="1035" t="s">
        <v>189</v>
      </c>
      <c r="D875" s="1121" t="s">
        <v>1072</v>
      </c>
      <c r="E875" s="1091" t="s">
        <v>360</v>
      </c>
      <c r="I875" s="1029"/>
      <c r="K875" s="783"/>
      <c r="L875" s="814"/>
      <c r="M875" s="776"/>
      <c r="N875" s="801"/>
      <c r="O875" s="822"/>
      <c r="P875" s="822"/>
      <c r="Q875" s="822"/>
      <c r="R875" s="822"/>
      <c r="S875" s="822"/>
      <c r="T875" s="822"/>
      <c r="U875" s="822"/>
      <c r="V875" s="822"/>
      <c r="W875" s="822"/>
      <c r="X875" s="822"/>
      <c r="Y875" s="823"/>
      <c r="Z875" s="823"/>
      <c r="AA875" s="823"/>
    </row>
    <row r="876" spans="1:27" x14ac:dyDescent="0.25">
      <c r="A876" s="1035">
        <v>868</v>
      </c>
      <c r="B876" s="1035" t="s">
        <v>59</v>
      </c>
      <c r="C876" s="1035" t="s">
        <v>189</v>
      </c>
      <c r="D876" s="1160" t="s">
        <v>723</v>
      </c>
      <c r="E876" s="1100" t="s">
        <v>360</v>
      </c>
      <c r="I876" s="1029"/>
      <c r="K876" s="783"/>
      <c r="L876" s="800"/>
      <c r="M876" s="776"/>
      <c r="N876" s="801"/>
      <c r="O876" s="822"/>
      <c r="P876" s="822"/>
      <c r="Q876" s="822"/>
      <c r="R876" s="822"/>
      <c r="S876" s="822"/>
      <c r="T876" s="822"/>
      <c r="U876" s="822"/>
      <c r="V876" s="822"/>
      <c r="W876" s="822"/>
      <c r="X876" s="822"/>
      <c r="Y876" s="823"/>
      <c r="Z876" s="823"/>
      <c r="AA876" s="823"/>
    </row>
    <row r="877" spans="1:27" ht="15.75" thickBot="1" x14ac:dyDescent="0.3">
      <c r="A877" s="1035">
        <v>869</v>
      </c>
      <c r="B877" s="1035" t="s">
        <v>59</v>
      </c>
      <c r="C877" s="1035" t="s">
        <v>189</v>
      </c>
      <c r="D877" s="1147" t="s">
        <v>724</v>
      </c>
      <c r="E877" s="1099" t="s">
        <v>360</v>
      </c>
      <c r="F877" s="1145" t="s">
        <v>862</v>
      </c>
      <c r="I877" s="1029"/>
      <c r="K877" s="783"/>
      <c r="L877" s="800"/>
      <c r="M877" s="776"/>
      <c r="N877" s="801"/>
      <c r="O877" s="822"/>
      <c r="P877" s="822"/>
      <c r="Q877" s="822"/>
      <c r="R877" s="822"/>
      <c r="S877" s="822"/>
      <c r="T877" s="822"/>
      <c r="U877" s="822"/>
      <c r="V877" s="822"/>
      <c r="W877" s="822"/>
      <c r="X877" s="822"/>
      <c r="Y877" s="823"/>
      <c r="Z877" s="823"/>
      <c r="AA877" s="823"/>
    </row>
    <row r="878" spans="1:27" x14ac:dyDescent="0.25">
      <c r="A878" s="1035">
        <v>870</v>
      </c>
      <c r="B878" s="1035" t="s">
        <v>59</v>
      </c>
      <c r="C878" s="1035" t="s">
        <v>189</v>
      </c>
      <c r="I878" s="1029"/>
      <c r="K878" s="783"/>
      <c r="L878" s="800"/>
      <c r="M878" s="776"/>
      <c r="N878" s="801"/>
      <c r="O878" s="822"/>
      <c r="P878" s="822"/>
      <c r="Q878" s="822"/>
      <c r="R878" s="822"/>
      <c r="S878" s="822"/>
      <c r="T878" s="822"/>
      <c r="U878" s="822"/>
      <c r="V878" s="822"/>
      <c r="W878" s="822"/>
      <c r="X878" s="822"/>
      <c r="Y878" s="823"/>
      <c r="Z878" s="823"/>
      <c r="AA878" s="823"/>
    </row>
    <row r="879" spans="1:27" ht="15.75" thickBot="1" x14ac:dyDescent="0.3">
      <c r="A879" s="1035">
        <v>871</v>
      </c>
      <c r="B879" s="1035" t="s">
        <v>59</v>
      </c>
      <c r="C879" s="1035" t="s">
        <v>189</v>
      </c>
      <c r="D879" s="1117" t="s">
        <v>726</v>
      </c>
      <c r="E879" s="1118" t="s">
        <v>352</v>
      </c>
      <c r="F879" s="1118" t="s">
        <v>353</v>
      </c>
      <c r="G879" s="1118" t="s">
        <v>354</v>
      </c>
      <c r="I879" s="1029"/>
      <c r="K879" s="783"/>
      <c r="L879" s="800"/>
      <c r="M879" s="776"/>
      <c r="N879" s="801"/>
      <c r="O879" s="822"/>
      <c r="P879" s="822"/>
      <c r="Q879" s="822"/>
      <c r="R879" s="822"/>
      <c r="S879" s="822"/>
      <c r="T879" s="822"/>
      <c r="U879" s="822"/>
      <c r="V879" s="822"/>
      <c r="W879" s="822"/>
      <c r="X879" s="822"/>
      <c r="Y879" s="823"/>
      <c r="Z879" s="823"/>
      <c r="AA879" s="823"/>
    </row>
    <row r="880" spans="1:27" ht="15.75" thickBot="1" x14ac:dyDescent="0.3">
      <c r="A880" s="1035">
        <v>872</v>
      </c>
      <c r="B880" s="1035" t="s">
        <v>59</v>
      </c>
      <c r="C880" s="1035" t="s">
        <v>189</v>
      </c>
      <c r="D880" s="1119" t="s">
        <v>727</v>
      </c>
      <c r="E880" s="1093" t="s">
        <v>360</v>
      </c>
      <c r="F880" s="1143">
        <f>IF(F871="",2,0)</f>
        <v>2</v>
      </c>
      <c r="G880" s="1143">
        <f>IF(F880=0,0,IF(E880=L874,0,IF(AND(E882=AIS_Yes,E881=AIS_Yes),L869,0)))</f>
        <v>0</v>
      </c>
      <c r="I880" s="1029"/>
      <c r="K880" s="783"/>
      <c r="L880" s="800"/>
      <c r="M880" s="776"/>
      <c r="N880" s="801"/>
      <c r="O880" s="822"/>
      <c r="P880" s="822"/>
      <c r="Q880" s="822"/>
      <c r="R880" s="822"/>
      <c r="S880" s="822"/>
      <c r="T880" s="822"/>
      <c r="U880" s="822"/>
      <c r="V880" s="822"/>
      <c r="W880" s="822"/>
      <c r="X880" s="822"/>
      <c r="Y880" s="823"/>
      <c r="Z880" s="823"/>
      <c r="AA880" s="823"/>
    </row>
    <row r="881" spans="1:27" x14ac:dyDescent="0.25">
      <c r="A881" s="1035">
        <v>873</v>
      </c>
      <c r="B881" s="1035" t="s">
        <v>59</v>
      </c>
      <c r="C881" s="1035" t="s">
        <v>189</v>
      </c>
      <c r="D881" s="1121" t="s">
        <v>728</v>
      </c>
      <c r="E881" s="1100" t="s">
        <v>360</v>
      </c>
      <c r="I881" s="1029"/>
      <c r="K881" s="783"/>
      <c r="L881" s="800"/>
      <c r="M881" s="776"/>
      <c r="N881" s="801"/>
      <c r="O881" s="822"/>
      <c r="P881" s="822"/>
      <c r="Q881" s="822"/>
      <c r="R881" s="822"/>
      <c r="S881" s="822"/>
      <c r="T881" s="822"/>
      <c r="U881" s="822"/>
      <c r="V881" s="822"/>
      <c r="W881" s="822"/>
      <c r="X881" s="822"/>
      <c r="Y881" s="823"/>
      <c r="Z881" s="823"/>
      <c r="AA881" s="823"/>
    </row>
    <row r="882" spans="1:27" ht="15.75" thickBot="1" x14ac:dyDescent="0.3">
      <c r="A882" s="1035">
        <v>874</v>
      </c>
      <c r="B882" s="1035" t="s">
        <v>59</v>
      </c>
      <c r="C882" s="1035" t="s">
        <v>189</v>
      </c>
      <c r="D882" s="1147" t="s">
        <v>729</v>
      </c>
      <c r="E882" s="1099" t="s">
        <v>360</v>
      </c>
      <c r="F882" s="1187" t="s">
        <v>730</v>
      </c>
      <c r="I882" s="1029"/>
      <c r="K882" s="783"/>
      <c r="L882" s="800"/>
      <c r="M882" s="776"/>
      <c r="N882" s="801"/>
      <c r="O882" s="822"/>
      <c r="P882" s="822"/>
      <c r="Q882" s="822"/>
      <c r="R882" s="822"/>
      <c r="S882" s="822"/>
      <c r="T882" s="822"/>
      <c r="U882" s="822"/>
      <c r="V882" s="822"/>
      <c r="W882" s="822"/>
      <c r="X882" s="822"/>
      <c r="Y882" s="823"/>
      <c r="Z882" s="823"/>
      <c r="AA882" s="823"/>
    </row>
    <row r="883" spans="1:27" x14ac:dyDescent="0.25">
      <c r="A883" s="1035">
        <v>875</v>
      </c>
      <c r="B883" s="1035" t="s">
        <v>59</v>
      </c>
      <c r="C883" s="1035" t="s">
        <v>189</v>
      </c>
      <c r="I883" s="1029"/>
      <c r="K883" s="783"/>
      <c r="L883" s="800"/>
      <c r="M883" s="776"/>
      <c r="N883" s="801"/>
      <c r="O883" s="822"/>
      <c r="P883" s="822"/>
      <c r="Q883" s="822"/>
      <c r="R883" s="822"/>
      <c r="S883" s="822"/>
      <c r="T883" s="822"/>
      <c r="U883" s="822"/>
      <c r="V883" s="822"/>
      <c r="W883" s="822"/>
      <c r="X883" s="822"/>
      <c r="Y883" s="823"/>
      <c r="Z883" s="823"/>
      <c r="AA883" s="823"/>
    </row>
    <row r="884" spans="1:27" ht="15.75" thickBot="1" x14ac:dyDescent="0.3">
      <c r="A884" s="1035">
        <v>876</v>
      </c>
      <c r="B884" s="1035" t="s">
        <v>59</v>
      </c>
      <c r="C884" s="1035" t="s">
        <v>189</v>
      </c>
      <c r="D884" s="1117" t="s">
        <v>731</v>
      </c>
      <c r="E884" s="1118" t="s">
        <v>352</v>
      </c>
      <c r="F884" s="1118" t="s">
        <v>353</v>
      </c>
      <c r="G884" s="1118" t="s">
        <v>354</v>
      </c>
      <c r="I884" s="1029"/>
      <c r="K884" s="783"/>
      <c r="L884" s="800"/>
      <c r="M884" s="776"/>
      <c r="N884" s="801"/>
      <c r="O884" s="822"/>
      <c r="P884" s="822"/>
      <c r="Q884" s="822"/>
      <c r="R884" s="822"/>
      <c r="S884" s="822"/>
      <c r="T884" s="822"/>
      <c r="U884" s="822"/>
      <c r="V884" s="822"/>
      <c r="W884" s="822"/>
      <c r="X884" s="822"/>
      <c r="Y884" s="823"/>
      <c r="Z884" s="823"/>
      <c r="AA884" s="823"/>
    </row>
    <row r="885" spans="1:27" ht="15.75" thickBot="1" x14ac:dyDescent="0.3">
      <c r="A885" s="1035">
        <v>877</v>
      </c>
      <c r="B885" s="1035" t="s">
        <v>59</v>
      </c>
      <c r="C885" s="1035" t="s">
        <v>189</v>
      </c>
      <c r="D885" s="1119" t="s">
        <v>732</v>
      </c>
      <c r="E885" s="1093" t="s">
        <v>360</v>
      </c>
      <c r="F885" s="1143">
        <f>IF(F871="",2,0)</f>
        <v>2</v>
      </c>
      <c r="G885" s="1143">
        <f>IF(F885=0,0,IF(AND(E886=AIS_Yes,E885=AIS_Yes,E887=AIS_Yes),L870,0))</f>
        <v>0</v>
      </c>
      <c r="I885" s="1029"/>
      <c r="K885" s="783"/>
      <c r="L885" s="800"/>
      <c r="M885" s="776"/>
      <c r="N885" s="801"/>
      <c r="O885" s="822"/>
      <c r="P885" s="822"/>
      <c r="Q885" s="822"/>
      <c r="R885" s="822"/>
      <c r="S885" s="822"/>
      <c r="T885" s="822"/>
      <c r="U885" s="822"/>
      <c r="V885" s="822"/>
      <c r="W885" s="822"/>
      <c r="X885" s="822"/>
      <c r="Y885" s="823"/>
      <c r="Z885" s="823"/>
      <c r="AA885" s="823"/>
    </row>
    <row r="886" spans="1:27" x14ac:dyDescent="0.25">
      <c r="A886" s="1035">
        <v>878</v>
      </c>
      <c r="B886" s="1035" t="s">
        <v>59</v>
      </c>
      <c r="C886" s="1035" t="s">
        <v>189</v>
      </c>
      <c r="D886" s="1160" t="s">
        <v>733</v>
      </c>
      <c r="E886" s="1091" t="s">
        <v>360</v>
      </c>
      <c r="I886" s="1029"/>
      <c r="K886" s="783"/>
      <c r="L886" s="800"/>
      <c r="M886" s="776"/>
      <c r="N886" s="801"/>
      <c r="O886" s="822"/>
      <c r="P886" s="822"/>
      <c r="Q886" s="822"/>
      <c r="R886" s="822"/>
      <c r="S886" s="822"/>
      <c r="T886" s="822"/>
      <c r="U886" s="822"/>
      <c r="V886" s="822"/>
      <c r="W886" s="822"/>
      <c r="X886" s="822"/>
      <c r="Y886" s="823"/>
      <c r="Z886" s="823"/>
      <c r="AA886" s="823"/>
    </row>
    <row r="887" spans="1:27" x14ac:dyDescent="0.25">
      <c r="A887" s="1035">
        <v>879</v>
      </c>
      <c r="B887" s="1035" t="s">
        <v>59</v>
      </c>
      <c r="C887" s="1035" t="s">
        <v>189</v>
      </c>
      <c r="D887" s="1121" t="s">
        <v>734</v>
      </c>
      <c r="E887" s="1091" t="s">
        <v>360</v>
      </c>
      <c r="I887" s="1029"/>
      <c r="K887" s="783"/>
      <c r="L887" s="800"/>
      <c r="M887" s="776"/>
      <c r="N887" s="801"/>
      <c r="O887" s="822"/>
      <c r="P887" s="822"/>
      <c r="Q887" s="822"/>
      <c r="R887" s="822"/>
      <c r="S887" s="822"/>
      <c r="T887" s="822"/>
      <c r="U887" s="822"/>
      <c r="V887" s="822"/>
      <c r="W887" s="822"/>
      <c r="X887" s="822"/>
      <c r="Y887" s="823"/>
      <c r="Z887" s="823"/>
      <c r="AA887" s="823"/>
    </row>
    <row r="888" spans="1:27" ht="15.75" thickBot="1" x14ac:dyDescent="0.3">
      <c r="A888" s="1035">
        <v>880</v>
      </c>
      <c r="B888" s="1035" t="s">
        <v>59</v>
      </c>
      <c r="C888" s="1035" t="s">
        <v>189</v>
      </c>
      <c r="D888" s="1147" t="s">
        <v>735</v>
      </c>
      <c r="E888" s="1097" t="s">
        <v>545</v>
      </c>
      <c r="F888" s="1145" t="s">
        <v>863</v>
      </c>
      <c r="I888" s="1029"/>
      <c r="K888" s="783"/>
      <c r="L888" s="800"/>
      <c r="M888" s="776"/>
      <c r="N888" s="801"/>
      <c r="O888" s="822"/>
      <c r="P888" s="822"/>
      <c r="Q888" s="822"/>
      <c r="R888" s="822"/>
      <c r="S888" s="822"/>
      <c r="T888" s="822"/>
      <c r="U888" s="822"/>
      <c r="V888" s="822"/>
      <c r="W888" s="822"/>
      <c r="X888" s="822"/>
      <c r="Y888" s="823"/>
      <c r="Z888" s="823"/>
      <c r="AA888" s="823"/>
    </row>
    <row r="889" spans="1:27" x14ac:dyDescent="0.25">
      <c r="A889" s="1035">
        <v>881</v>
      </c>
      <c r="B889" s="1035" t="s">
        <v>59</v>
      </c>
      <c r="C889" s="1035" t="s">
        <v>189</v>
      </c>
      <c r="I889" s="1029"/>
      <c r="K889" s="783"/>
      <c r="L889" s="800"/>
      <c r="M889" s="776"/>
      <c r="N889" s="801"/>
      <c r="O889" s="822"/>
      <c r="P889" s="822"/>
      <c r="Q889" s="822"/>
      <c r="R889" s="822"/>
      <c r="S889" s="822"/>
      <c r="T889" s="822"/>
      <c r="U889" s="822"/>
      <c r="V889" s="822"/>
      <c r="W889" s="822"/>
      <c r="X889" s="822"/>
      <c r="Y889" s="823"/>
      <c r="Z889" s="823"/>
      <c r="AA889" s="823"/>
    </row>
    <row r="890" spans="1:27" ht="15.75" thickBot="1" x14ac:dyDescent="0.3">
      <c r="A890" s="1035">
        <v>882</v>
      </c>
      <c r="B890" s="1035" t="s">
        <v>59</v>
      </c>
      <c r="C890" s="1035" t="s">
        <v>189</v>
      </c>
      <c r="D890" s="1117" t="s">
        <v>736</v>
      </c>
      <c r="E890" s="1118" t="s">
        <v>352</v>
      </c>
      <c r="F890" s="1118" t="s">
        <v>353</v>
      </c>
      <c r="G890" s="1118" t="s">
        <v>354</v>
      </c>
      <c r="I890" s="1029"/>
      <c r="K890" s="783"/>
      <c r="L890" s="800"/>
      <c r="M890" s="776"/>
      <c r="N890" s="801"/>
      <c r="O890" s="822"/>
      <c r="P890" s="822"/>
      <c r="Q890" s="822"/>
      <c r="R890" s="822"/>
      <c r="S890" s="822"/>
      <c r="T890" s="822"/>
      <c r="U890" s="822"/>
      <c r="V890" s="822"/>
      <c r="W890" s="822"/>
      <c r="X890" s="822"/>
      <c r="Y890" s="823"/>
      <c r="Z890" s="823"/>
      <c r="AA890" s="823"/>
    </row>
    <row r="891" spans="1:27" ht="15.75" thickBot="1" x14ac:dyDescent="0.3">
      <c r="A891" s="1035">
        <v>883</v>
      </c>
      <c r="B891" s="1035" t="s">
        <v>59</v>
      </c>
      <c r="C891" s="1035" t="s">
        <v>189</v>
      </c>
      <c r="D891" s="1119" t="s">
        <v>738</v>
      </c>
      <c r="E891" s="1093" t="s">
        <v>360</v>
      </c>
      <c r="F891" s="1143">
        <f>IF(F871="",2,0)</f>
        <v>2</v>
      </c>
      <c r="G891" s="1143">
        <f>IF(F891=0,0,L872)</f>
        <v>0</v>
      </c>
      <c r="I891" s="1029"/>
      <c r="K891" s="783"/>
      <c r="L891" s="800"/>
      <c r="M891" s="776"/>
      <c r="N891" s="801"/>
      <c r="O891" s="822"/>
      <c r="P891" s="822"/>
      <c r="Q891" s="822"/>
      <c r="R891" s="822"/>
      <c r="S891" s="822"/>
      <c r="T891" s="822"/>
      <c r="U891" s="822"/>
      <c r="V891" s="822"/>
      <c r="W891" s="822"/>
      <c r="X891" s="822"/>
      <c r="Y891" s="823"/>
      <c r="Z891" s="823"/>
      <c r="AA891" s="823"/>
    </row>
    <row r="892" spans="1:27" x14ac:dyDescent="0.25">
      <c r="A892" s="1035">
        <v>884</v>
      </c>
      <c r="B892" s="1035" t="s">
        <v>59</v>
      </c>
      <c r="C892" s="1035" t="s">
        <v>189</v>
      </c>
      <c r="D892" s="1160" t="s">
        <v>1100</v>
      </c>
      <c r="E892" s="1188" t="s">
        <v>545</v>
      </c>
      <c r="I892" s="1029"/>
      <c r="K892" s="783"/>
      <c r="L892" s="800"/>
      <c r="M892" s="776"/>
      <c r="N892" s="801"/>
      <c r="O892" s="822"/>
      <c r="P892" s="822"/>
      <c r="Q892" s="822"/>
      <c r="R892" s="822"/>
      <c r="S892" s="822"/>
      <c r="T892" s="822"/>
      <c r="U892" s="822"/>
      <c r="V892" s="822"/>
      <c r="W892" s="822"/>
      <c r="X892" s="822"/>
      <c r="Y892" s="823"/>
      <c r="Z892" s="823"/>
      <c r="AA892" s="823"/>
    </row>
    <row r="893" spans="1:27" x14ac:dyDescent="0.25">
      <c r="A893" s="1035">
        <v>885</v>
      </c>
      <c r="B893" s="1035"/>
      <c r="C893" s="1035"/>
      <c r="D893" s="1121" t="s">
        <v>1103</v>
      </c>
      <c r="E893" s="1298"/>
      <c r="F893" s="768" t="s">
        <v>1105</v>
      </c>
      <c r="I893" s="1029"/>
      <c r="K893" s="783"/>
      <c r="L893" s="800"/>
      <c r="M893" s="776"/>
      <c r="N893" s="801"/>
      <c r="O893" s="822"/>
      <c r="P893" s="822"/>
      <c r="Q893" s="822"/>
      <c r="R893" s="822"/>
      <c r="S893" s="822"/>
      <c r="T893" s="822"/>
      <c r="U893" s="822"/>
      <c r="V893" s="822"/>
      <c r="W893" s="822"/>
      <c r="X893" s="822"/>
      <c r="Y893" s="823"/>
      <c r="Z893" s="823"/>
      <c r="AA893" s="823"/>
    </row>
    <row r="894" spans="1:27" ht="15.75" thickBot="1" x14ac:dyDescent="0.3">
      <c r="A894" s="1035">
        <v>886</v>
      </c>
      <c r="B894" s="1035"/>
      <c r="C894" s="1035"/>
      <c r="D894" s="1147" t="s">
        <v>1104</v>
      </c>
      <c r="E894" s="1297"/>
      <c r="F894" s="768" t="s">
        <v>1105</v>
      </c>
      <c r="I894" s="1029"/>
      <c r="K894" s="783"/>
      <c r="L894" s="800"/>
      <c r="M894" s="776"/>
      <c r="N894" s="801"/>
      <c r="O894" s="822"/>
      <c r="P894" s="822"/>
      <c r="Q894" s="822"/>
      <c r="R894" s="822"/>
      <c r="S894" s="822"/>
      <c r="T894" s="822"/>
      <c r="U894" s="822"/>
      <c r="V894" s="822"/>
      <c r="W894" s="822"/>
      <c r="X894" s="822"/>
      <c r="Y894" s="823"/>
      <c r="Z894" s="823"/>
      <c r="AA894" s="823"/>
    </row>
    <row r="895" spans="1:27" x14ac:dyDescent="0.25">
      <c r="A895" s="1035">
        <v>887</v>
      </c>
      <c r="B895" s="1035" t="s">
        <v>59</v>
      </c>
      <c r="C895" s="1035" t="s">
        <v>189</v>
      </c>
      <c r="I895" s="1029"/>
      <c r="K895" s="783"/>
      <c r="L895" s="800"/>
      <c r="M895" s="776"/>
      <c r="N895" s="801"/>
      <c r="O895" s="822"/>
      <c r="P895" s="822"/>
      <c r="Q895" s="822"/>
      <c r="R895" s="822"/>
      <c r="S895" s="822"/>
      <c r="T895" s="822"/>
      <c r="U895" s="822"/>
      <c r="V895" s="822"/>
      <c r="W895" s="822"/>
      <c r="X895" s="822"/>
      <c r="Y895" s="823"/>
      <c r="Z895" s="823"/>
      <c r="AA895" s="823"/>
    </row>
    <row r="896" spans="1:27" x14ac:dyDescent="0.25">
      <c r="A896" s="1035">
        <v>888</v>
      </c>
      <c r="B896" s="1035" t="s">
        <v>59</v>
      </c>
      <c r="C896" s="1035" t="s">
        <v>189</v>
      </c>
      <c r="D896" s="1127" t="s">
        <v>356</v>
      </c>
      <c r="E896" s="1128">
        <f>G874+G880+G885+G891</f>
        <v>0</v>
      </c>
      <c r="I896" s="1029"/>
      <c r="K896" s="783"/>
      <c r="L896" s="800"/>
      <c r="M896" s="776"/>
      <c r="N896" s="801"/>
      <c r="O896" s="822"/>
      <c r="P896" s="822"/>
      <c r="Q896" s="822"/>
      <c r="R896" s="822"/>
      <c r="S896" s="822"/>
      <c r="T896" s="822"/>
      <c r="U896" s="822"/>
      <c r="V896" s="822"/>
      <c r="W896" s="822"/>
      <c r="X896" s="822"/>
      <c r="Y896" s="823"/>
      <c r="Z896" s="823"/>
      <c r="AA896" s="823"/>
    </row>
    <row r="897" spans="1:27" x14ac:dyDescent="0.25">
      <c r="A897" s="1035">
        <v>889</v>
      </c>
      <c r="B897" s="1035" t="s">
        <v>59</v>
      </c>
      <c r="C897" s="1035" t="s">
        <v>189</v>
      </c>
      <c r="D897" s="1129" t="s">
        <v>86</v>
      </c>
      <c r="E897" s="1130">
        <f>Mat01_28</f>
        <v>0</v>
      </c>
      <c r="I897" s="1029"/>
      <c r="K897" s="783"/>
      <c r="L897" s="800"/>
      <c r="M897" s="776"/>
      <c r="N897" s="801"/>
      <c r="O897" s="822"/>
      <c r="P897" s="822"/>
      <c r="Q897" s="822"/>
      <c r="R897" s="822"/>
      <c r="S897" s="822"/>
      <c r="T897" s="822"/>
      <c r="U897" s="822"/>
      <c r="V897" s="822"/>
      <c r="W897" s="822"/>
      <c r="X897" s="822"/>
      <c r="Y897" s="823"/>
      <c r="Z897" s="823"/>
      <c r="AA897" s="823"/>
    </row>
    <row r="898" spans="1:27" x14ac:dyDescent="0.25">
      <c r="A898" s="1035">
        <v>890</v>
      </c>
      <c r="B898" s="1035" t="s">
        <v>59</v>
      </c>
      <c r="C898" s="1035" t="s">
        <v>189</v>
      </c>
      <c r="D898" s="1131" t="s">
        <v>357</v>
      </c>
      <c r="E898" s="1128">
        <f>(L868+L871)</f>
        <v>0</v>
      </c>
      <c r="I898" s="1029"/>
      <c r="K898" s="783"/>
      <c r="L898" s="800"/>
      <c r="M898" s="776"/>
      <c r="N898" s="801"/>
      <c r="O898" s="822"/>
      <c r="P898" s="822"/>
      <c r="Q898" s="822"/>
      <c r="R898" s="822"/>
      <c r="S898" s="822"/>
      <c r="T898" s="822"/>
      <c r="U898" s="822"/>
      <c r="V898" s="822"/>
      <c r="W898" s="822"/>
      <c r="X898" s="822"/>
      <c r="Y898" s="823"/>
      <c r="Z898" s="823"/>
      <c r="AA898" s="823"/>
    </row>
    <row r="899" spans="1:27" x14ac:dyDescent="0.25">
      <c r="A899" s="1035">
        <v>891</v>
      </c>
      <c r="B899" s="1035" t="s">
        <v>59</v>
      </c>
      <c r="C899" s="1035" t="s">
        <v>189</v>
      </c>
      <c r="D899" s="1132" t="s">
        <v>55</v>
      </c>
      <c r="E899" s="1149" t="str">
        <f>Mat01_minstd</f>
        <v>Outstanding</v>
      </c>
      <c r="F899" s="1134"/>
      <c r="G899" s="1135"/>
      <c r="I899" s="1029"/>
      <c r="K899" s="783"/>
      <c r="L899" s="800"/>
      <c r="M899" s="776"/>
      <c r="N899" s="801"/>
      <c r="O899" s="822"/>
      <c r="P899" s="822"/>
      <c r="Q899" s="822"/>
      <c r="R899" s="822"/>
      <c r="S899" s="822"/>
      <c r="T899" s="822"/>
      <c r="U899" s="822"/>
      <c r="V899" s="822"/>
      <c r="W899" s="822"/>
      <c r="X899" s="822"/>
      <c r="Y899" s="823"/>
      <c r="Z899" s="823"/>
      <c r="AA899" s="823"/>
    </row>
    <row r="900" spans="1:27" x14ac:dyDescent="0.25">
      <c r="A900" s="1035">
        <v>892</v>
      </c>
      <c r="B900" s="1035" t="s">
        <v>59</v>
      </c>
      <c r="C900" s="1035" t="s">
        <v>189</v>
      </c>
      <c r="I900" s="1029"/>
      <c r="K900" s="783"/>
      <c r="L900" s="800"/>
      <c r="M900" s="776"/>
      <c r="N900" s="801"/>
      <c r="O900" s="822"/>
      <c r="P900" s="822"/>
      <c r="Q900" s="822"/>
      <c r="R900" s="822"/>
      <c r="S900" s="822"/>
      <c r="T900" s="822"/>
      <c r="U900" s="822"/>
      <c r="V900" s="822"/>
      <c r="W900" s="822"/>
      <c r="X900" s="822"/>
      <c r="Y900" s="823"/>
      <c r="Z900" s="823"/>
      <c r="AA900" s="823"/>
    </row>
    <row r="901" spans="1:27" x14ac:dyDescent="0.25">
      <c r="A901" s="1035">
        <v>893</v>
      </c>
      <c r="B901" s="1035" t="s">
        <v>59</v>
      </c>
      <c r="C901" s="1035" t="s">
        <v>189</v>
      </c>
      <c r="D901" s="1136" t="s">
        <v>359</v>
      </c>
      <c r="E901" s="1136" t="s">
        <v>977</v>
      </c>
      <c r="F901" s="1136" t="str">
        <f>HLOOKUP(C901,'Assessment References'!$H$512:$BG$513,2,FALSE)</f>
        <v/>
      </c>
      <c r="G901" s="1137"/>
      <c r="H901" s="1138"/>
      <c r="I901" s="1029"/>
      <c r="K901" s="783"/>
      <c r="L901" s="800"/>
      <c r="M901" s="776"/>
      <c r="N901" s="801"/>
      <c r="O901" s="822"/>
      <c r="P901" s="822"/>
      <c r="Q901" s="822"/>
      <c r="R901" s="822"/>
      <c r="S901" s="822"/>
      <c r="T901" s="822"/>
      <c r="U901" s="822"/>
      <c r="V901" s="822"/>
      <c r="W901" s="822"/>
      <c r="X901" s="822"/>
      <c r="Y901" s="823"/>
      <c r="Z901" s="823"/>
      <c r="AA901" s="823"/>
    </row>
    <row r="902" spans="1:27" x14ac:dyDescent="0.25">
      <c r="A902" s="1035">
        <v>894</v>
      </c>
      <c r="B902" s="1035" t="s">
        <v>59</v>
      </c>
      <c r="C902" s="1035" t="s">
        <v>189</v>
      </c>
      <c r="D902" s="1363"/>
      <c r="E902" s="1352"/>
      <c r="F902" s="1352"/>
      <c r="G902" s="1352"/>
      <c r="H902" s="1353"/>
      <c r="I902" s="1029"/>
      <c r="K902" s="783"/>
      <c r="L902" s="800"/>
      <c r="M902" s="776"/>
      <c r="N902" s="801"/>
      <c r="O902" s="822"/>
      <c r="P902" s="822"/>
      <c r="Q902" s="822"/>
      <c r="R902" s="822"/>
      <c r="S902" s="822"/>
      <c r="T902" s="822"/>
      <c r="U902" s="822"/>
      <c r="V902" s="822"/>
      <c r="W902" s="822"/>
      <c r="X902" s="822"/>
      <c r="Y902" s="823"/>
      <c r="Z902" s="823"/>
      <c r="AA902" s="823"/>
    </row>
    <row r="903" spans="1:27" x14ac:dyDescent="0.25">
      <c r="A903" s="1035">
        <v>895</v>
      </c>
      <c r="B903" s="1035" t="s">
        <v>59</v>
      </c>
      <c r="C903" s="1035" t="s">
        <v>189</v>
      </c>
      <c r="D903" s="1354"/>
      <c r="E903" s="1355"/>
      <c r="F903" s="1355"/>
      <c r="G903" s="1355"/>
      <c r="H903" s="1356"/>
      <c r="I903" s="1029"/>
      <c r="K903" s="783"/>
      <c r="L903" s="800"/>
      <c r="M903" s="776"/>
      <c r="N903" s="801"/>
      <c r="O903" s="822"/>
      <c r="P903" s="822"/>
      <c r="Q903" s="822"/>
      <c r="R903" s="822"/>
      <c r="S903" s="822"/>
      <c r="T903" s="822"/>
      <c r="U903" s="822"/>
      <c r="V903" s="822"/>
      <c r="W903" s="822"/>
      <c r="X903" s="822"/>
      <c r="Y903" s="823"/>
      <c r="Z903" s="823"/>
      <c r="AA903" s="823"/>
    </row>
    <row r="904" spans="1:27" x14ac:dyDescent="0.25">
      <c r="A904" s="1035">
        <v>896</v>
      </c>
      <c r="B904" s="1035" t="s">
        <v>59</v>
      </c>
      <c r="C904" s="1035" t="s">
        <v>189</v>
      </c>
      <c r="D904" s="1354"/>
      <c r="E904" s="1355"/>
      <c r="F904" s="1355"/>
      <c r="G904" s="1355"/>
      <c r="H904" s="1356"/>
      <c r="I904" s="1029"/>
      <c r="K904" s="783"/>
      <c r="L904" s="800"/>
      <c r="M904" s="776"/>
      <c r="N904" s="801"/>
      <c r="O904" s="822"/>
      <c r="P904" s="822"/>
      <c r="Q904" s="822"/>
      <c r="R904" s="822"/>
      <c r="S904" s="822"/>
      <c r="T904" s="822"/>
      <c r="U904" s="822"/>
      <c r="V904" s="822"/>
      <c r="W904" s="822"/>
      <c r="X904" s="822"/>
      <c r="Y904" s="823"/>
      <c r="Z904" s="823"/>
      <c r="AA904" s="823"/>
    </row>
    <row r="905" spans="1:27" x14ac:dyDescent="0.25">
      <c r="A905" s="1035">
        <v>897</v>
      </c>
      <c r="B905" s="1035" t="s">
        <v>59</v>
      </c>
      <c r="C905" s="1035" t="s">
        <v>189</v>
      </c>
      <c r="D905" s="1364"/>
      <c r="E905" s="1358"/>
      <c r="F905" s="1358"/>
      <c r="G905" s="1358"/>
      <c r="H905" s="1359"/>
      <c r="I905" s="1029"/>
      <c r="K905" s="783"/>
      <c r="L905" s="800"/>
      <c r="M905" s="776"/>
      <c r="N905" s="801"/>
      <c r="O905" s="822"/>
      <c r="P905" s="822"/>
      <c r="Q905" s="822"/>
      <c r="R905" s="822"/>
      <c r="S905" s="822"/>
      <c r="T905" s="822"/>
      <c r="U905" s="822"/>
      <c r="V905" s="822"/>
      <c r="W905" s="822"/>
      <c r="X905" s="822"/>
      <c r="Y905" s="823"/>
      <c r="Z905" s="823"/>
      <c r="AA905" s="823"/>
    </row>
    <row r="906" spans="1:27" x14ac:dyDescent="0.25">
      <c r="A906" s="1035">
        <v>898</v>
      </c>
      <c r="B906" s="1035" t="s">
        <v>59</v>
      </c>
      <c r="C906" s="1035" t="s">
        <v>189</v>
      </c>
      <c r="D906" s="1364"/>
      <c r="E906" s="1358"/>
      <c r="F906" s="1358"/>
      <c r="G906" s="1358"/>
      <c r="H906" s="1359"/>
      <c r="I906" s="1029"/>
      <c r="K906" s="783"/>
      <c r="L906" s="800"/>
      <c r="M906" s="776"/>
      <c r="N906" s="801"/>
      <c r="O906" s="822"/>
      <c r="P906" s="822"/>
      <c r="Q906" s="822"/>
      <c r="R906" s="822"/>
      <c r="S906" s="822"/>
      <c r="T906" s="822"/>
      <c r="U906" s="822"/>
      <c r="V906" s="822"/>
      <c r="W906" s="822"/>
      <c r="X906" s="822"/>
      <c r="Y906" s="823"/>
      <c r="Z906" s="823"/>
      <c r="AA906" s="823"/>
    </row>
    <row r="907" spans="1:27" x14ac:dyDescent="0.25">
      <c r="A907" s="1035">
        <v>899</v>
      </c>
      <c r="B907" s="1035" t="s">
        <v>59</v>
      </c>
      <c r="C907" s="1035" t="s">
        <v>189</v>
      </c>
      <c r="D907" s="1360"/>
      <c r="E907" s="1361"/>
      <c r="F907" s="1361"/>
      <c r="G907" s="1361"/>
      <c r="H907" s="1362"/>
      <c r="I907" s="1029"/>
      <c r="K907" s="783"/>
      <c r="L907" s="800"/>
      <c r="M907" s="776"/>
      <c r="N907" s="801"/>
      <c r="O907" s="822"/>
      <c r="P907" s="822"/>
      <c r="Q907" s="822"/>
      <c r="R907" s="822"/>
      <c r="S907" s="822"/>
      <c r="T907" s="822"/>
      <c r="U907" s="822"/>
      <c r="V907" s="822"/>
      <c r="W907" s="822"/>
      <c r="X907" s="822"/>
      <c r="Y907" s="823"/>
      <c r="Z907" s="823"/>
      <c r="AA907" s="823"/>
    </row>
    <row r="908" spans="1:27" ht="15.75" thickBot="1" x14ac:dyDescent="0.3">
      <c r="A908" s="1035">
        <v>900</v>
      </c>
      <c r="B908" s="1035" t="s">
        <v>59</v>
      </c>
      <c r="C908" s="1035" t="s">
        <v>189</v>
      </c>
      <c r="I908" s="1029"/>
      <c r="K908" s="783"/>
      <c r="L908" s="800"/>
      <c r="M908" s="776"/>
      <c r="N908" s="801"/>
      <c r="O908" s="822"/>
      <c r="P908" s="822"/>
      <c r="Q908" s="822"/>
      <c r="R908" s="822"/>
      <c r="S908" s="822"/>
      <c r="T908" s="822"/>
      <c r="U908" s="822"/>
      <c r="V908" s="822"/>
      <c r="W908" s="822"/>
      <c r="X908" s="822"/>
      <c r="Y908" s="823"/>
      <c r="Z908" s="823"/>
      <c r="AA908" s="823"/>
    </row>
    <row r="909" spans="1:27" ht="15.75" thickBot="1" x14ac:dyDescent="0.3">
      <c r="A909" s="1039">
        <v>901</v>
      </c>
      <c r="B909" s="1039" t="s">
        <v>59</v>
      </c>
      <c r="C909" s="827" t="s">
        <v>190</v>
      </c>
      <c r="D909" s="1103" t="s">
        <v>914</v>
      </c>
      <c r="E909" s="1104"/>
      <c r="F909" s="1104"/>
      <c r="G909" s="1105"/>
      <c r="H909" s="1105"/>
      <c r="I909" s="1029"/>
      <c r="K909" s="783"/>
      <c r="L909" s="804" t="str">
        <f>C909</f>
        <v>Mat 03</v>
      </c>
      <c r="M909" s="776"/>
      <c r="N909" s="801"/>
      <c r="O909" s="822"/>
      <c r="P909" s="822"/>
      <c r="Q909" s="822"/>
      <c r="R909" s="822"/>
      <c r="S909" s="822"/>
      <c r="T909" s="822"/>
      <c r="U909" s="822"/>
      <c r="V909" s="822"/>
      <c r="W909" s="822"/>
      <c r="X909" s="822"/>
      <c r="Y909" s="823"/>
      <c r="Z909" s="823"/>
      <c r="AA909" s="823"/>
    </row>
    <row r="910" spans="1:27" ht="15.75" thickBot="1" x14ac:dyDescent="0.3">
      <c r="A910" s="1035">
        <v>902</v>
      </c>
      <c r="B910" s="1035" t="s">
        <v>59</v>
      </c>
      <c r="C910" s="1035" t="s">
        <v>190</v>
      </c>
      <c r="D910" s="1107" t="s">
        <v>17</v>
      </c>
      <c r="E910" s="1108">
        <f>Mat03_credits</f>
        <v>3</v>
      </c>
      <c r="F910" s="1109"/>
      <c r="G910" s="1110" t="s">
        <v>85</v>
      </c>
      <c r="H910" s="1111">
        <f>Mat03_37</f>
        <v>3.6818181818181819E-2</v>
      </c>
      <c r="I910" s="1029"/>
      <c r="K910" s="783"/>
      <c r="L910" s="815"/>
      <c r="M910" s="776"/>
      <c r="N910" s="801"/>
      <c r="O910" s="822"/>
      <c r="P910" s="822"/>
      <c r="Q910" s="822"/>
      <c r="R910" s="822"/>
      <c r="S910" s="822"/>
      <c r="T910" s="822"/>
      <c r="U910" s="822"/>
      <c r="V910" s="822"/>
      <c r="W910" s="822"/>
      <c r="X910" s="822"/>
      <c r="Y910" s="823"/>
      <c r="Z910" s="823"/>
      <c r="AA910" s="823"/>
    </row>
    <row r="911" spans="1:27" ht="15.75" thickBot="1" x14ac:dyDescent="0.3">
      <c r="A911" s="1035">
        <v>903</v>
      </c>
      <c r="B911" s="1035" t="s">
        <v>59</v>
      </c>
      <c r="C911" s="1035" t="s">
        <v>190</v>
      </c>
      <c r="D911" s="1112" t="s">
        <v>349</v>
      </c>
      <c r="E911" s="1113">
        <f>Inn06_credits</f>
        <v>1</v>
      </c>
      <c r="F911" s="1114"/>
      <c r="G911" s="1115" t="s">
        <v>350</v>
      </c>
      <c r="H911" s="1116" t="s">
        <v>14</v>
      </c>
      <c r="I911" s="1029"/>
      <c r="K911" s="783"/>
      <c r="L911" s="815">
        <f>SUM(L917:L924)</f>
        <v>0</v>
      </c>
      <c r="M911" s="776"/>
      <c r="N911" s="801"/>
      <c r="O911" s="822"/>
      <c r="P911" s="822"/>
      <c r="Q911" s="822"/>
      <c r="R911" s="822"/>
      <c r="S911" s="822"/>
      <c r="T911" s="822"/>
      <c r="U911" s="822"/>
      <c r="V911" s="822"/>
      <c r="W911" s="822"/>
      <c r="X911" s="822"/>
      <c r="Y911" s="823"/>
      <c r="Z911" s="823"/>
      <c r="AA911" s="823"/>
    </row>
    <row r="912" spans="1:27" ht="15.75" thickBot="1" x14ac:dyDescent="0.3">
      <c r="A912" s="1035">
        <v>904</v>
      </c>
      <c r="B912" s="1035" t="s">
        <v>59</v>
      </c>
      <c r="C912" s="1035" t="s">
        <v>190</v>
      </c>
      <c r="E912" s="768" t="s">
        <v>0</v>
      </c>
      <c r="I912" s="1029"/>
      <c r="K912" s="783"/>
      <c r="L912" s="815">
        <f>IF(L911&gt;14.9,3,IF(L911&gt;9.9,2,IF(L911&gt;4.9,1,0)))</f>
        <v>0</v>
      </c>
      <c r="M912" s="776"/>
      <c r="N912" s="801"/>
      <c r="O912" s="822"/>
      <c r="P912" s="822"/>
      <c r="Q912" s="822"/>
      <c r="R912" s="822"/>
      <c r="S912" s="822"/>
      <c r="T912" s="822"/>
      <c r="U912" s="822"/>
      <c r="V912" s="822"/>
      <c r="W912" s="822"/>
      <c r="X912" s="822"/>
      <c r="Y912" s="823"/>
      <c r="Z912" s="823"/>
      <c r="AA912" s="823"/>
    </row>
    <row r="913" spans="1:27" ht="15.75" thickBot="1" x14ac:dyDescent="0.3">
      <c r="A913" s="1035">
        <v>905</v>
      </c>
      <c r="B913" s="1035" t="s">
        <v>59</v>
      </c>
      <c r="C913" s="1035" t="s">
        <v>190</v>
      </c>
      <c r="D913" s="1117" t="s">
        <v>351</v>
      </c>
      <c r="E913" s="1118" t="s">
        <v>352</v>
      </c>
      <c r="F913" s="1118" t="s">
        <v>353</v>
      </c>
      <c r="G913" s="1118" t="s">
        <v>354</v>
      </c>
      <c r="H913" s="1118" t="s">
        <v>355</v>
      </c>
      <c r="I913" s="1045"/>
      <c r="K913" s="783"/>
      <c r="L913" s="906" t="s">
        <v>360</v>
      </c>
      <c r="M913" s="776"/>
      <c r="N913" s="801"/>
      <c r="O913" s="822"/>
      <c r="P913" s="822"/>
      <c r="Q913" s="822"/>
      <c r="R913" s="822"/>
      <c r="S913" s="822"/>
      <c r="T913" s="822"/>
      <c r="U913" s="822"/>
      <c r="V913" s="822"/>
      <c r="W913" s="822"/>
      <c r="X913" s="822"/>
      <c r="Y913" s="823"/>
      <c r="Z913" s="823"/>
      <c r="AA913" s="823"/>
    </row>
    <row r="914" spans="1:27" ht="15.75" thickBot="1" x14ac:dyDescent="0.3">
      <c r="A914" s="1035">
        <v>906</v>
      </c>
      <c r="B914" s="1035" t="s">
        <v>59</v>
      </c>
      <c r="C914" s="1035" t="s">
        <v>190</v>
      </c>
      <c r="D914" s="1142" t="s">
        <v>447</v>
      </c>
      <c r="E914" s="1099" t="s">
        <v>360</v>
      </c>
      <c r="F914" s="1143">
        <f>E910</f>
        <v>3</v>
      </c>
      <c r="G914" s="1143">
        <f>IF(I914="",L912,0)</f>
        <v>0</v>
      </c>
      <c r="H914" s="1327" t="s">
        <v>16</v>
      </c>
      <c r="I914" s="1040" t="str">
        <f>IF(OR(E914=AIS_No,E914=AIS_PS),"Pre-requisite: Please select yes","")</f>
        <v>Pre-requisite: Please select yes</v>
      </c>
      <c r="K914" s="783"/>
      <c r="L914" s="810">
        <v>1</v>
      </c>
      <c r="M914" s="776"/>
      <c r="N914" s="801"/>
      <c r="O914" s="102" t="s">
        <v>1273</v>
      </c>
      <c r="P914" s="822"/>
      <c r="Q914" s="822"/>
      <c r="R914" s="822"/>
      <c r="S914" s="822"/>
      <c r="T914" s="822"/>
      <c r="U914" s="822" t="str">
        <f>$T$4</f>
        <v>No</v>
      </c>
      <c r="V914" s="822"/>
      <c r="W914" s="822"/>
      <c r="X914" s="822"/>
      <c r="Y914" s="823"/>
      <c r="Z914" s="823"/>
      <c r="AA914" s="823"/>
    </row>
    <row r="915" spans="1:27" x14ac:dyDescent="0.25">
      <c r="A915" s="1035">
        <v>907</v>
      </c>
      <c r="B915" s="1035" t="s">
        <v>59</v>
      </c>
      <c r="C915" s="1035" t="s">
        <v>190</v>
      </c>
      <c r="I915" s="824"/>
      <c r="J915" s="824"/>
      <c r="K915" s="825"/>
      <c r="L915" s="846">
        <v>3</v>
      </c>
      <c r="M915" s="821"/>
      <c r="N915" s="801"/>
      <c r="O915" s="822"/>
      <c r="P915" s="822"/>
      <c r="Q915" s="822"/>
      <c r="R915" s="822"/>
      <c r="S915" s="822"/>
      <c r="T915" s="822"/>
      <c r="U915" s="822"/>
      <c r="V915" s="822"/>
      <c r="W915" s="822"/>
      <c r="X915" s="822"/>
      <c r="Y915" s="823"/>
      <c r="Z915" s="823"/>
      <c r="AA915" s="823"/>
    </row>
    <row r="916" spans="1:27" ht="45.75" thickBot="1" x14ac:dyDescent="0.3">
      <c r="A916" s="1035">
        <v>908</v>
      </c>
      <c r="B916" s="1035" t="s">
        <v>59</v>
      </c>
      <c r="C916" s="1035" t="s">
        <v>190</v>
      </c>
      <c r="D916" s="1189" t="s">
        <v>740</v>
      </c>
      <c r="E916" s="1177" t="s">
        <v>448</v>
      </c>
      <c r="F916" s="1177" t="s">
        <v>449</v>
      </c>
      <c r="G916" s="1177" t="s">
        <v>741</v>
      </c>
      <c r="I916" s="824"/>
      <c r="J916" s="824"/>
      <c r="K916" s="825"/>
      <c r="L916" s="845">
        <v>4</v>
      </c>
      <c r="M916" s="821"/>
      <c r="N916" s="801"/>
      <c r="O916" s="822"/>
      <c r="P916" s="822"/>
      <c r="Q916" s="822"/>
      <c r="R916" s="822"/>
      <c r="S916" s="822"/>
      <c r="T916" s="822"/>
      <c r="U916" s="822"/>
      <c r="V916" s="822"/>
      <c r="W916" s="822"/>
      <c r="X916" s="822"/>
      <c r="Y916" s="823"/>
      <c r="Z916" s="823"/>
      <c r="AA916" s="823"/>
    </row>
    <row r="917" spans="1:27" x14ac:dyDescent="0.25">
      <c r="A917" s="1035">
        <v>909</v>
      </c>
      <c r="B917" s="1035" t="s">
        <v>59</v>
      </c>
      <c r="C917" s="1035" t="s">
        <v>190</v>
      </c>
      <c r="D917" s="1119" t="s">
        <v>450</v>
      </c>
      <c r="E917" s="504" t="s">
        <v>360</v>
      </c>
      <c r="F917" s="1190" t="s">
        <v>545</v>
      </c>
      <c r="G917" s="1093" t="s">
        <v>360</v>
      </c>
      <c r="H917" s="1191" t="str">
        <f t="shared" ref="H917:H924" si="69">IF(AND(E917=AIS_Yes,F917&lt;80%),AIS_statement110,"")</f>
        <v/>
      </c>
      <c r="I917" s="1029"/>
      <c r="J917" s="824"/>
      <c r="K917" s="825"/>
      <c r="L917" s="810">
        <f>IF(OR(E917=AIS_PS,E917=AIS_No),0,IF(F917=$L$938,0,IF(F917&lt;80%,0,IF(G917=1,3,IF(G917=3,1.5,IF(G917=4,1,0))))))</f>
        <v>0</v>
      </c>
      <c r="M917" s="821"/>
      <c r="N917" s="801"/>
      <c r="O917" s="822"/>
      <c r="P917" s="822"/>
      <c r="Q917" s="822"/>
      <c r="R917" s="822"/>
      <c r="S917" s="822"/>
      <c r="T917" s="822"/>
      <c r="U917" s="822"/>
      <c r="V917" s="822"/>
      <c r="W917" s="822"/>
      <c r="X917" s="822"/>
      <c r="Y917" s="823"/>
      <c r="Z917" s="823"/>
      <c r="AA917" s="823"/>
    </row>
    <row r="918" spans="1:27" x14ac:dyDescent="0.25">
      <c r="A918" s="1035">
        <v>910</v>
      </c>
      <c r="B918" s="1035" t="s">
        <v>59</v>
      </c>
      <c r="C918" s="1035" t="s">
        <v>190</v>
      </c>
      <c r="D918" s="1160" t="s">
        <v>451</v>
      </c>
      <c r="E918" s="505" t="s">
        <v>360</v>
      </c>
      <c r="F918" s="1188" t="s">
        <v>545</v>
      </c>
      <c r="G918" s="1091" t="s">
        <v>360</v>
      </c>
      <c r="H918" s="1191" t="str">
        <f t="shared" si="69"/>
        <v/>
      </c>
      <c r="I918" s="1029"/>
      <c r="J918" s="824"/>
      <c r="K918" s="825"/>
      <c r="L918" s="811">
        <f t="shared" ref="L918:L924" si="70">IF(OR(E918=AIS_PS,E918=AIS_No),0,IF(F918=$L$938,0,IF(F918&lt;80%,0,IF(G918=1,3,IF(G918=3,1.5,IF(G918=4,1,0))))))</f>
        <v>0</v>
      </c>
      <c r="M918" s="821"/>
      <c r="N918" s="801"/>
      <c r="O918" s="822"/>
      <c r="P918" s="822"/>
      <c r="Q918" s="822"/>
      <c r="R918" s="822"/>
      <c r="S918" s="822"/>
      <c r="T918" s="822"/>
      <c r="U918" s="822"/>
      <c r="V918" s="822"/>
      <c r="W918" s="822"/>
      <c r="X918" s="822"/>
      <c r="Y918" s="823"/>
      <c r="Z918" s="823"/>
      <c r="AA918" s="823"/>
    </row>
    <row r="919" spans="1:27" x14ac:dyDescent="0.25">
      <c r="A919" s="1035">
        <v>911</v>
      </c>
      <c r="B919" s="1035" t="s">
        <v>59</v>
      </c>
      <c r="C919" s="1035" t="s">
        <v>190</v>
      </c>
      <c r="D919" s="1160" t="s">
        <v>452</v>
      </c>
      <c r="E919" s="505" t="s">
        <v>360</v>
      </c>
      <c r="F919" s="1188" t="s">
        <v>545</v>
      </c>
      <c r="G919" s="1091" t="s">
        <v>360</v>
      </c>
      <c r="H919" s="1191" t="str">
        <f t="shared" si="69"/>
        <v/>
      </c>
      <c r="I919" s="1029"/>
      <c r="J919" s="824"/>
      <c r="K919" s="825"/>
      <c r="L919" s="811">
        <f t="shared" si="70"/>
        <v>0</v>
      </c>
      <c r="M919" s="821"/>
      <c r="N919" s="801"/>
      <c r="O919" s="822"/>
      <c r="P919" s="822"/>
      <c r="Q919" s="822"/>
      <c r="R919" s="822"/>
      <c r="S919" s="822"/>
      <c r="T919" s="822"/>
      <c r="U919" s="822"/>
      <c r="V919" s="822"/>
      <c r="W919" s="822"/>
      <c r="X919" s="822"/>
      <c r="Y919" s="823"/>
      <c r="Z919" s="823"/>
      <c r="AA919" s="823"/>
    </row>
    <row r="920" spans="1:27" x14ac:dyDescent="0.25">
      <c r="A920" s="1035">
        <v>912</v>
      </c>
      <c r="B920" s="1035" t="s">
        <v>59</v>
      </c>
      <c r="C920" s="1035" t="s">
        <v>190</v>
      </c>
      <c r="D920" s="1160" t="s">
        <v>439</v>
      </c>
      <c r="E920" s="505" t="s">
        <v>360</v>
      </c>
      <c r="F920" s="1188" t="s">
        <v>545</v>
      </c>
      <c r="G920" s="1091" t="s">
        <v>360</v>
      </c>
      <c r="H920" s="1191" t="str">
        <f t="shared" si="69"/>
        <v/>
      </c>
      <c r="I920" s="1029"/>
      <c r="J920" s="824"/>
      <c r="K920" s="825"/>
      <c r="L920" s="811">
        <f t="shared" si="70"/>
        <v>0</v>
      </c>
      <c r="M920" s="821"/>
      <c r="N920" s="801"/>
      <c r="O920" s="822"/>
      <c r="P920" s="822"/>
      <c r="Q920" s="822"/>
      <c r="R920" s="822"/>
      <c r="S920" s="822"/>
      <c r="T920" s="822"/>
      <c r="U920" s="822"/>
      <c r="V920" s="822"/>
      <c r="W920" s="822"/>
      <c r="X920" s="822"/>
      <c r="Y920" s="823"/>
      <c r="Z920" s="823"/>
      <c r="AA920" s="823"/>
    </row>
    <row r="921" spans="1:27" x14ac:dyDescent="0.25">
      <c r="A921" s="1035">
        <v>913</v>
      </c>
      <c r="B921" s="1035" t="s">
        <v>59</v>
      </c>
      <c r="C921" s="1035" t="s">
        <v>190</v>
      </c>
      <c r="D921" s="1160" t="s">
        <v>436</v>
      </c>
      <c r="E921" s="1091" t="s">
        <v>360</v>
      </c>
      <c r="F921" s="1188" t="s">
        <v>545</v>
      </c>
      <c r="G921" s="1091" t="s">
        <v>360</v>
      </c>
      <c r="H921" s="1191" t="str">
        <f t="shared" si="69"/>
        <v/>
      </c>
      <c r="I921" s="1029"/>
      <c r="J921" s="824"/>
      <c r="K921" s="825"/>
      <c r="L921" s="811">
        <f t="shared" si="70"/>
        <v>0</v>
      </c>
      <c r="M921" s="821"/>
      <c r="N921" s="801"/>
      <c r="O921" s="822"/>
      <c r="P921" s="822"/>
      <c r="Q921" s="822"/>
      <c r="R921" s="822"/>
      <c r="S921" s="822"/>
      <c r="T921" s="822"/>
      <c r="U921" s="822"/>
      <c r="V921" s="822"/>
      <c r="W921" s="822"/>
      <c r="X921" s="822"/>
      <c r="Y921" s="823"/>
      <c r="Z921" s="823"/>
      <c r="AA921" s="823"/>
    </row>
    <row r="922" spans="1:27" x14ac:dyDescent="0.25">
      <c r="A922" s="1035">
        <v>914</v>
      </c>
      <c r="B922" s="1035" t="s">
        <v>59</v>
      </c>
      <c r="C922" s="1035" t="s">
        <v>190</v>
      </c>
      <c r="D922" s="1160" t="s">
        <v>453</v>
      </c>
      <c r="E922" s="1091" t="s">
        <v>360</v>
      </c>
      <c r="F922" s="1188" t="s">
        <v>545</v>
      </c>
      <c r="G922" s="1091" t="s">
        <v>360</v>
      </c>
      <c r="H922" s="1191" t="str">
        <f t="shared" si="69"/>
        <v/>
      </c>
      <c r="I922" s="1029"/>
      <c r="J922" s="824"/>
      <c r="K922" s="825"/>
      <c r="L922" s="811">
        <f t="shared" si="70"/>
        <v>0</v>
      </c>
      <c r="M922" s="821"/>
      <c r="N922" s="801"/>
      <c r="O922" s="822"/>
      <c r="P922" s="822"/>
      <c r="Q922" s="822"/>
      <c r="R922" s="822"/>
      <c r="S922" s="822"/>
      <c r="T922" s="822"/>
      <c r="U922" s="822"/>
      <c r="V922" s="822"/>
      <c r="W922" s="822"/>
      <c r="X922" s="822"/>
      <c r="Y922" s="823"/>
      <c r="Z922" s="823"/>
      <c r="AA922" s="823"/>
    </row>
    <row r="923" spans="1:27" x14ac:dyDescent="0.25">
      <c r="A923" s="1035">
        <v>915</v>
      </c>
      <c r="B923" s="1035" t="s">
        <v>59</v>
      </c>
      <c r="C923" s="1035" t="s">
        <v>190</v>
      </c>
      <c r="D923" s="1121" t="s">
        <v>454</v>
      </c>
      <c r="E923" s="1091" t="s">
        <v>360</v>
      </c>
      <c r="F923" s="1188" t="s">
        <v>545</v>
      </c>
      <c r="G923" s="1091" t="s">
        <v>360</v>
      </c>
      <c r="H923" s="1191" t="str">
        <f t="shared" si="69"/>
        <v/>
      </c>
      <c r="I923" s="1029"/>
      <c r="J923" s="824"/>
      <c r="K923" s="825"/>
      <c r="L923" s="811">
        <f t="shared" si="70"/>
        <v>0</v>
      </c>
      <c r="M923" s="821"/>
      <c r="N923" s="801"/>
      <c r="O923" s="822"/>
      <c r="P923" s="822"/>
      <c r="Q923" s="822"/>
      <c r="R923" s="822"/>
      <c r="S923" s="822"/>
      <c r="T923" s="822"/>
      <c r="U923" s="822"/>
      <c r="V923" s="822"/>
      <c r="W923" s="822"/>
      <c r="X923" s="822"/>
      <c r="Y923" s="823"/>
      <c r="Z923" s="823"/>
      <c r="AA923" s="823"/>
    </row>
    <row r="924" spans="1:27" ht="15.75" thickBot="1" x14ac:dyDescent="0.3">
      <c r="A924" s="1035">
        <v>916</v>
      </c>
      <c r="B924" s="1035" t="s">
        <v>59</v>
      </c>
      <c r="C924" s="1035" t="s">
        <v>190</v>
      </c>
      <c r="D924" s="1147" t="s">
        <v>739</v>
      </c>
      <c r="E924" s="1092" t="s">
        <v>360</v>
      </c>
      <c r="F924" s="1171" t="s">
        <v>545</v>
      </c>
      <c r="G924" s="1092" t="s">
        <v>360</v>
      </c>
      <c r="H924" s="1191" t="str">
        <f t="shared" si="69"/>
        <v/>
      </c>
      <c r="I924" s="1029"/>
      <c r="J924" s="824"/>
      <c r="K924" s="825"/>
      <c r="L924" s="812">
        <f t="shared" si="70"/>
        <v>0</v>
      </c>
      <c r="M924" s="821"/>
      <c r="N924" s="801"/>
      <c r="O924" s="822"/>
      <c r="P924" s="822"/>
      <c r="Q924" s="822"/>
      <c r="R924" s="822"/>
      <c r="S924" s="822"/>
      <c r="T924" s="822"/>
      <c r="U924" s="822"/>
      <c r="V924" s="822"/>
      <c r="W924" s="822"/>
      <c r="X924" s="822"/>
      <c r="Y924" s="823"/>
      <c r="Z924" s="823"/>
      <c r="AA924" s="823"/>
    </row>
    <row r="925" spans="1:27" ht="15.75" thickBot="1" x14ac:dyDescent="0.3">
      <c r="A925" s="1035">
        <v>917</v>
      </c>
      <c r="B925" s="1035"/>
      <c r="C925" s="1035"/>
      <c r="D925" s="1142" t="s">
        <v>1114</v>
      </c>
      <c r="E925" s="1192">
        <f>IFERROR((SUM(L917:L924)/(3*(COUNTIF(E917:E924,AIS_Yes)))),0)</f>
        <v>0</v>
      </c>
      <c r="H925" s="1191"/>
      <c r="I925" s="1029"/>
      <c r="J925" s="824"/>
      <c r="K925" s="825"/>
      <c r="L925" s="840"/>
      <c r="M925" s="821"/>
      <c r="N925" s="801"/>
      <c r="O925" s="822"/>
      <c r="P925" s="822"/>
      <c r="Q925" s="822"/>
      <c r="R925" s="822"/>
      <c r="S925" s="822"/>
      <c r="T925" s="822"/>
      <c r="U925" s="822"/>
      <c r="V925" s="822"/>
      <c r="W925" s="822"/>
      <c r="X925" s="822"/>
      <c r="Y925" s="823"/>
      <c r="Z925" s="823"/>
      <c r="AA925" s="823"/>
    </row>
    <row r="926" spans="1:27" ht="15.75" thickBot="1" x14ac:dyDescent="0.3">
      <c r="A926" s="1035">
        <v>918</v>
      </c>
      <c r="B926" s="1035" t="s">
        <v>59</v>
      </c>
      <c r="C926" s="1035" t="s">
        <v>190</v>
      </c>
      <c r="I926" s="824"/>
      <c r="J926" s="824"/>
      <c r="K926" s="825"/>
      <c r="L926" s="840"/>
      <c r="M926" s="821"/>
      <c r="N926" s="801"/>
      <c r="O926" s="822"/>
      <c r="P926" s="822"/>
      <c r="Q926" s="822"/>
      <c r="R926" s="822"/>
      <c r="S926" s="822"/>
      <c r="T926" s="822"/>
      <c r="U926" s="822"/>
      <c r="V926" s="822"/>
      <c r="W926" s="822"/>
      <c r="X926" s="822"/>
      <c r="Y926" s="823"/>
      <c r="Z926" s="823"/>
      <c r="AA926" s="823"/>
    </row>
    <row r="927" spans="1:27" x14ac:dyDescent="0.25">
      <c r="A927" s="1035">
        <v>919</v>
      </c>
      <c r="B927" s="1035" t="s">
        <v>59</v>
      </c>
      <c r="C927" s="1035" t="s">
        <v>190</v>
      </c>
      <c r="D927" s="1127" t="s">
        <v>356</v>
      </c>
      <c r="E927" s="1128">
        <f>IF(G914&gt;E910,E910,G914)</f>
        <v>0</v>
      </c>
      <c r="I927" s="1029"/>
      <c r="J927" s="824"/>
      <c r="K927" s="825"/>
      <c r="L927" s="841">
        <f t="shared" ref="L927:L934" si="71">IF(AND(E917=AIS_Yes,F917&gt;0.94),1,0)</f>
        <v>0</v>
      </c>
      <c r="M927" s="821"/>
      <c r="N927" s="801"/>
      <c r="O927" s="822"/>
      <c r="P927" s="822"/>
      <c r="Q927" s="822"/>
      <c r="R927" s="822"/>
      <c r="S927" s="822"/>
      <c r="T927" s="822"/>
      <c r="U927" s="822"/>
      <c r="V927" s="822"/>
      <c r="W927" s="822"/>
      <c r="X927" s="822"/>
      <c r="Y927" s="823"/>
      <c r="Z927" s="823"/>
      <c r="AA927" s="823"/>
    </row>
    <row r="928" spans="1:27" x14ac:dyDescent="0.25">
      <c r="A928" s="1035">
        <v>920</v>
      </c>
      <c r="B928" s="1035" t="s">
        <v>59</v>
      </c>
      <c r="C928" s="1035" t="s">
        <v>190</v>
      </c>
      <c r="D928" s="1129" t="s">
        <v>86</v>
      </c>
      <c r="E928" s="1130">
        <f>Mat03_38</f>
        <v>0</v>
      </c>
      <c r="I928" s="824"/>
      <c r="J928" s="824"/>
      <c r="K928" s="825"/>
      <c r="L928" s="846">
        <f t="shared" si="71"/>
        <v>0</v>
      </c>
      <c r="M928" s="821"/>
      <c r="N928" s="801"/>
      <c r="O928" s="822"/>
      <c r="P928" s="822"/>
      <c r="Q928" s="822"/>
      <c r="R928" s="822"/>
      <c r="S928" s="822"/>
      <c r="T928" s="822"/>
      <c r="U928" s="822"/>
      <c r="V928" s="822"/>
      <c r="W928" s="822"/>
      <c r="X928" s="822"/>
      <c r="Y928" s="823"/>
      <c r="Z928" s="823"/>
      <c r="AA928" s="823"/>
    </row>
    <row r="929" spans="1:27" x14ac:dyDescent="0.25">
      <c r="A929" s="1035">
        <v>921</v>
      </c>
      <c r="B929" s="1035" t="s">
        <v>59</v>
      </c>
      <c r="C929" s="1035" t="s">
        <v>190</v>
      </c>
      <c r="D929" s="1131" t="s">
        <v>357</v>
      </c>
      <c r="E929" s="1128">
        <f>IF(E927=0,0,IF(L935=L936,E911,0))</f>
        <v>0</v>
      </c>
      <c r="I929" s="824"/>
      <c r="J929" s="824"/>
      <c r="K929" s="825"/>
      <c r="L929" s="846">
        <f t="shared" si="71"/>
        <v>0</v>
      </c>
      <c r="M929" s="821"/>
      <c r="N929" s="801"/>
      <c r="O929" s="822"/>
      <c r="P929" s="822"/>
      <c r="Q929" s="822"/>
      <c r="R929" s="822"/>
      <c r="S929" s="822"/>
      <c r="T929" s="822"/>
      <c r="U929" s="822"/>
      <c r="V929" s="822"/>
      <c r="W929" s="822"/>
      <c r="X929" s="822"/>
      <c r="Y929" s="823"/>
      <c r="Z929" s="823"/>
      <c r="AA929" s="823"/>
    </row>
    <row r="930" spans="1:27" x14ac:dyDescent="0.25">
      <c r="A930" s="1035">
        <v>922</v>
      </c>
      <c r="B930" s="1035" t="s">
        <v>59</v>
      </c>
      <c r="C930" s="1035" t="s">
        <v>190</v>
      </c>
      <c r="D930" s="1132" t="s">
        <v>55</v>
      </c>
      <c r="E930" s="1149" t="str">
        <f>Mat03_minstd</f>
        <v>Unclassified</v>
      </c>
      <c r="F930" s="1134"/>
      <c r="G930" s="1135"/>
      <c r="I930" s="824"/>
      <c r="J930" s="824"/>
      <c r="K930" s="825"/>
      <c r="L930" s="846">
        <f t="shared" si="71"/>
        <v>0</v>
      </c>
      <c r="M930" s="821"/>
      <c r="N930" s="801"/>
      <c r="O930" s="822"/>
      <c r="P930" s="822"/>
      <c r="Q930" s="822"/>
      <c r="R930" s="822"/>
      <c r="S930" s="822"/>
      <c r="T930" s="822"/>
      <c r="U930" s="822"/>
      <c r="V930" s="822"/>
      <c r="W930" s="822"/>
      <c r="X930" s="822"/>
      <c r="Y930" s="823"/>
      <c r="Z930" s="823"/>
      <c r="AA930" s="823"/>
    </row>
    <row r="931" spans="1:27" x14ac:dyDescent="0.25">
      <c r="A931" s="1035">
        <v>923</v>
      </c>
      <c r="B931" s="1035" t="s">
        <v>59</v>
      </c>
      <c r="C931" s="1035" t="s">
        <v>190</v>
      </c>
      <c r="I931" s="824"/>
      <c r="J931" s="824"/>
      <c r="K931" s="825"/>
      <c r="L931" s="846">
        <f t="shared" si="71"/>
        <v>0</v>
      </c>
      <c r="M931" s="821"/>
      <c r="N931" s="801"/>
      <c r="O931" s="822"/>
      <c r="P931" s="822"/>
      <c r="Q931" s="822"/>
      <c r="R931" s="822"/>
      <c r="S931" s="822"/>
      <c r="T931" s="822"/>
      <c r="U931" s="822"/>
      <c r="V931" s="822"/>
      <c r="W931" s="822"/>
      <c r="X931" s="822"/>
      <c r="Y931" s="823"/>
      <c r="Z931" s="823"/>
      <c r="AA931" s="823"/>
    </row>
    <row r="932" spans="1:27" x14ac:dyDescent="0.25">
      <c r="A932" s="1035">
        <v>924</v>
      </c>
      <c r="B932" s="1035" t="s">
        <v>59</v>
      </c>
      <c r="C932" s="1035" t="s">
        <v>190</v>
      </c>
      <c r="D932" s="1136" t="s">
        <v>359</v>
      </c>
      <c r="E932" s="1136" t="s">
        <v>977</v>
      </c>
      <c r="F932" s="1136" t="str">
        <f>HLOOKUP(C932,'Assessment References'!$H$512:$BG$513,2,FALSE)</f>
        <v/>
      </c>
      <c r="G932" s="1137"/>
      <c r="H932" s="1138"/>
      <c r="I932" s="824"/>
      <c r="J932" s="824"/>
      <c r="K932" s="825"/>
      <c r="L932" s="846">
        <f t="shared" si="71"/>
        <v>0</v>
      </c>
      <c r="M932" s="821"/>
      <c r="N932" s="801"/>
      <c r="O932" s="822"/>
      <c r="P932" s="822"/>
      <c r="Q932" s="822"/>
      <c r="R932" s="822"/>
      <c r="S932" s="822"/>
      <c r="T932" s="822"/>
      <c r="U932" s="822"/>
      <c r="V932" s="822"/>
      <c r="W932" s="822"/>
      <c r="X932" s="822"/>
      <c r="Y932" s="823"/>
      <c r="Z932" s="823"/>
      <c r="AA932" s="823"/>
    </row>
    <row r="933" spans="1:27" x14ac:dyDescent="0.25">
      <c r="A933" s="1035">
        <v>925</v>
      </c>
      <c r="B933" s="1035" t="s">
        <v>59</v>
      </c>
      <c r="C933" s="1035" t="s">
        <v>190</v>
      </c>
      <c r="D933" s="1363"/>
      <c r="E933" s="1352"/>
      <c r="F933" s="1352"/>
      <c r="G933" s="1352"/>
      <c r="H933" s="1353"/>
      <c r="I933" s="824"/>
      <c r="J933" s="824"/>
      <c r="K933" s="825"/>
      <c r="L933" s="846">
        <f t="shared" si="71"/>
        <v>0</v>
      </c>
      <c r="M933" s="821"/>
      <c r="N933" s="801"/>
      <c r="O933" s="822"/>
      <c r="P933" s="822"/>
      <c r="Q933" s="822"/>
      <c r="R933" s="822"/>
      <c r="S933" s="822"/>
      <c r="T933" s="822"/>
      <c r="U933" s="822"/>
      <c r="V933" s="822"/>
      <c r="W933" s="822"/>
      <c r="X933" s="822"/>
      <c r="Y933" s="823"/>
      <c r="Z933" s="823"/>
      <c r="AA933" s="823"/>
    </row>
    <row r="934" spans="1:27" ht="15.75" thickBot="1" x14ac:dyDescent="0.3">
      <c r="A934" s="1035">
        <v>926</v>
      </c>
      <c r="B934" s="1035" t="s">
        <v>59</v>
      </c>
      <c r="C934" s="1035" t="s">
        <v>190</v>
      </c>
      <c r="D934" s="1354"/>
      <c r="E934" s="1355"/>
      <c r="F934" s="1355"/>
      <c r="G934" s="1355"/>
      <c r="H934" s="1356"/>
      <c r="I934" s="824"/>
      <c r="J934" s="824"/>
      <c r="K934" s="825"/>
      <c r="L934" s="845">
        <f t="shared" si="71"/>
        <v>0</v>
      </c>
      <c r="M934" s="821"/>
      <c r="N934" s="801"/>
      <c r="O934" s="822"/>
      <c r="P934" s="822"/>
      <c r="Q934" s="822"/>
      <c r="R934" s="822"/>
      <c r="S934" s="822"/>
      <c r="T934" s="822"/>
      <c r="U934" s="822"/>
      <c r="V934" s="822"/>
      <c r="W934" s="822"/>
      <c r="X934" s="822"/>
      <c r="Y934" s="823"/>
      <c r="Z934" s="823"/>
      <c r="AA934" s="823"/>
    </row>
    <row r="935" spans="1:27" x14ac:dyDescent="0.25">
      <c r="A935" s="1035">
        <v>927</v>
      </c>
      <c r="B935" s="1035" t="s">
        <v>59</v>
      </c>
      <c r="C935" s="1035" t="s">
        <v>190</v>
      </c>
      <c r="D935" s="1354"/>
      <c r="E935" s="1355"/>
      <c r="F935" s="1355"/>
      <c r="G935" s="1355"/>
      <c r="H935" s="1356"/>
      <c r="I935" s="824"/>
      <c r="J935" s="824"/>
      <c r="K935" s="825"/>
      <c r="L935" s="841">
        <f>SUM(L927:L934)</f>
        <v>0</v>
      </c>
      <c r="M935" s="821"/>
      <c r="N935" s="801"/>
      <c r="O935" s="822"/>
      <c r="P935" s="822"/>
      <c r="Q935" s="822"/>
      <c r="R935" s="822"/>
      <c r="S935" s="822"/>
      <c r="T935" s="822"/>
      <c r="U935" s="822"/>
      <c r="V935" s="822"/>
      <c r="W935" s="822"/>
      <c r="X935" s="822"/>
      <c r="Y935" s="823"/>
      <c r="Z935" s="823"/>
      <c r="AA935" s="823"/>
    </row>
    <row r="936" spans="1:27" ht="15.75" thickBot="1" x14ac:dyDescent="0.3">
      <c r="A936" s="1035">
        <v>928</v>
      </c>
      <c r="B936" s="1035" t="s">
        <v>59</v>
      </c>
      <c r="C936" s="1035" t="s">
        <v>190</v>
      </c>
      <c r="D936" s="1364"/>
      <c r="E936" s="1358"/>
      <c r="F936" s="1358"/>
      <c r="G936" s="1358"/>
      <c r="H936" s="1359"/>
      <c r="I936" s="824"/>
      <c r="J936" s="824"/>
      <c r="K936" s="825"/>
      <c r="L936" s="842">
        <f>COUNTIF(E917:E924,AIS_Yes)</f>
        <v>0</v>
      </c>
      <c r="M936" s="821"/>
      <c r="N936" s="801"/>
      <c r="O936" s="822"/>
      <c r="P936" s="822"/>
      <c r="Q936" s="822"/>
      <c r="R936" s="822"/>
      <c r="S936" s="822"/>
      <c r="T936" s="822"/>
      <c r="U936" s="822"/>
      <c r="V936" s="822"/>
      <c r="W936" s="822"/>
      <c r="X936" s="822"/>
      <c r="Y936" s="823"/>
      <c r="Z936" s="823"/>
      <c r="AA936" s="823"/>
    </row>
    <row r="937" spans="1:27" ht="15.75" thickBot="1" x14ac:dyDescent="0.3">
      <c r="A937" s="1035">
        <v>929</v>
      </c>
      <c r="B937" s="1035" t="s">
        <v>59</v>
      </c>
      <c r="C937" s="1035" t="s">
        <v>190</v>
      </c>
      <c r="D937" s="1364"/>
      <c r="E937" s="1358"/>
      <c r="F937" s="1358"/>
      <c r="G937" s="1358"/>
      <c r="H937" s="1359"/>
      <c r="I937" s="824"/>
      <c r="J937" s="824"/>
      <c r="K937" s="825"/>
      <c r="L937" s="840"/>
      <c r="M937" s="821"/>
      <c r="N937" s="801"/>
      <c r="O937" s="822"/>
      <c r="P937" s="822"/>
      <c r="Q937" s="822"/>
      <c r="R937" s="822"/>
      <c r="S937" s="822"/>
      <c r="T937" s="822"/>
      <c r="U937" s="822"/>
      <c r="V937" s="822"/>
      <c r="W937" s="822"/>
      <c r="X937" s="822"/>
      <c r="Y937" s="823"/>
      <c r="Z937" s="823"/>
      <c r="AA937" s="823"/>
    </row>
    <row r="938" spans="1:27" ht="15.75" thickBot="1" x14ac:dyDescent="0.3">
      <c r="A938" s="1035">
        <v>930</v>
      </c>
      <c r="B938" s="1035" t="s">
        <v>59</v>
      </c>
      <c r="C938" s="1035" t="s">
        <v>190</v>
      </c>
      <c r="D938" s="1360"/>
      <c r="E938" s="1361"/>
      <c r="F938" s="1361"/>
      <c r="G938" s="1361"/>
      <c r="H938" s="1362"/>
      <c r="I938" s="824"/>
      <c r="J938" s="824"/>
      <c r="K938" s="825"/>
      <c r="L938" s="843" t="s">
        <v>545</v>
      </c>
      <c r="M938" s="821"/>
      <c r="N938" s="801"/>
      <c r="O938" s="822"/>
      <c r="P938" s="822"/>
      <c r="Q938" s="822"/>
      <c r="R938" s="822"/>
      <c r="S938" s="822"/>
      <c r="T938" s="822"/>
      <c r="U938" s="822"/>
      <c r="V938" s="822"/>
      <c r="W938" s="822"/>
      <c r="X938" s="822"/>
      <c r="Y938" s="823"/>
      <c r="Z938" s="823"/>
      <c r="AA938" s="823"/>
    </row>
    <row r="939" spans="1:27" ht="15.75" thickBot="1" x14ac:dyDescent="0.3">
      <c r="A939" s="1035">
        <v>931</v>
      </c>
      <c r="B939" s="1035" t="s">
        <v>59</v>
      </c>
      <c r="C939" s="1035" t="s">
        <v>190</v>
      </c>
      <c r="D939" s="1193"/>
      <c r="E939" s="1193"/>
      <c r="F939" s="1156"/>
      <c r="G939" s="1156"/>
      <c r="H939" s="1156"/>
      <c r="I939" s="824"/>
      <c r="J939" s="824"/>
      <c r="K939" s="825"/>
      <c r="L939" s="889"/>
      <c r="M939" s="821"/>
      <c r="N939" s="801"/>
      <c r="O939" s="822"/>
      <c r="P939" s="822"/>
      <c r="Q939" s="822"/>
      <c r="R939" s="822"/>
      <c r="S939" s="822"/>
      <c r="T939" s="822"/>
      <c r="U939" s="822"/>
      <c r="V939" s="822"/>
      <c r="W939" s="822"/>
      <c r="X939" s="822"/>
      <c r="Y939" s="823"/>
      <c r="Z939" s="823"/>
      <c r="AA939" s="823"/>
    </row>
    <row r="940" spans="1:27" ht="15.75" thickBot="1" x14ac:dyDescent="0.3">
      <c r="A940" s="1037">
        <v>932</v>
      </c>
      <c r="B940" s="1037" t="s">
        <v>59</v>
      </c>
      <c r="C940" s="802" t="s">
        <v>191</v>
      </c>
      <c r="D940" s="1103" t="s">
        <v>915</v>
      </c>
      <c r="E940" s="1104"/>
      <c r="F940" s="1104"/>
      <c r="G940" s="1105"/>
      <c r="H940" s="1105"/>
      <c r="I940" s="824"/>
      <c r="J940" s="824"/>
      <c r="K940" s="825"/>
      <c r="L940" s="804" t="str">
        <f>C940</f>
        <v>Mat 05</v>
      </c>
      <c r="M940" s="821"/>
      <c r="N940" s="801"/>
      <c r="O940" s="1277" t="s">
        <v>1275</v>
      </c>
      <c r="P940" s="822"/>
      <c r="Q940" s="822"/>
      <c r="R940" s="822"/>
      <c r="S940" s="822"/>
      <c r="T940" s="822"/>
      <c r="U940" s="822"/>
      <c r="V940" s="822"/>
      <c r="W940" s="822"/>
      <c r="X940" s="822"/>
      <c r="Y940" s="823"/>
      <c r="Z940" s="823"/>
      <c r="AA940" s="823"/>
    </row>
    <row r="941" spans="1:27" x14ac:dyDescent="0.25">
      <c r="A941" s="1035">
        <v>933</v>
      </c>
      <c r="B941" s="1035" t="s">
        <v>59</v>
      </c>
      <c r="C941" s="1035" t="s">
        <v>191</v>
      </c>
      <c r="D941" s="1107" t="s">
        <v>17</v>
      </c>
      <c r="E941" s="1108">
        <f>Mat05_credits</f>
        <v>1</v>
      </c>
      <c r="F941" s="1109"/>
      <c r="G941" s="1110" t="s">
        <v>85</v>
      </c>
      <c r="H941" s="1111">
        <f>Mat05_05</f>
        <v>1.2272727272727274E-2</v>
      </c>
      <c r="I941" s="824"/>
      <c r="J941" s="824"/>
      <c r="K941" s="825"/>
      <c r="L941" s="820"/>
      <c r="M941" s="821"/>
      <c r="N941" s="801"/>
      <c r="O941" s="822"/>
      <c r="P941" s="822"/>
      <c r="Q941" s="822"/>
      <c r="R941" s="822"/>
      <c r="S941" s="822"/>
      <c r="T941" s="822"/>
      <c r="U941" s="822"/>
      <c r="V941" s="822"/>
      <c r="W941" s="822"/>
      <c r="X941" s="822"/>
      <c r="Y941" s="823"/>
      <c r="Z941" s="823"/>
      <c r="AA941" s="823"/>
    </row>
    <row r="942" spans="1:27" x14ac:dyDescent="0.25">
      <c r="A942" s="1035">
        <v>934</v>
      </c>
      <c r="B942" s="1035" t="s">
        <v>59</v>
      </c>
      <c r="C942" s="1035" t="s">
        <v>191</v>
      </c>
      <c r="D942" s="1112" t="s">
        <v>349</v>
      </c>
      <c r="E942" s="1113">
        <v>0</v>
      </c>
      <c r="F942" s="1114"/>
      <c r="G942" s="1115" t="s">
        <v>350</v>
      </c>
      <c r="H942" s="1116" t="s">
        <v>15</v>
      </c>
      <c r="I942" s="824"/>
      <c r="J942" s="824"/>
      <c r="K942" s="825"/>
      <c r="L942" s="820"/>
      <c r="M942" s="821"/>
      <c r="N942" s="801"/>
      <c r="O942" s="822"/>
      <c r="P942" s="822"/>
      <c r="Q942" s="822"/>
      <c r="R942" s="822"/>
      <c r="S942" s="822"/>
      <c r="T942" s="822"/>
      <c r="U942" s="822"/>
      <c r="V942" s="822"/>
      <c r="W942" s="822"/>
      <c r="X942" s="822"/>
      <c r="Y942" s="823"/>
      <c r="Z942" s="823"/>
      <c r="AA942" s="823"/>
    </row>
    <row r="943" spans="1:27" x14ac:dyDescent="0.25">
      <c r="A943" s="1035">
        <v>935</v>
      </c>
      <c r="B943" s="1035" t="s">
        <v>59</v>
      </c>
      <c r="C943" s="1035" t="s">
        <v>191</v>
      </c>
      <c r="I943" s="824"/>
      <c r="J943" s="824"/>
      <c r="K943" s="825"/>
      <c r="L943" s="820"/>
      <c r="M943" s="821"/>
      <c r="N943" s="801"/>
      <c r="O943" s="822"/>
      <c r="P943" s="822"/>
      <c r="Q943" s="822"/>
      <c r="R943" s="822"/>
      <c r="S943" s="822"/>
      <c r="T943" s="822"/>
      <c r="U943" s="822"/>
      <c r="V943" s="822"/>
      <c r="W943" s="822"/>
      <c r="X943" s="822"/>
      <c r="Y943" s="823"/>
      <c r="Z943" s="823"/>
      <c r="AA943" s="823"/>
    </row>
    <row r="944" spans="1:27" ht="15.75" thickBot="1" x14ac:dyDescent="0.3">
      <c r="A944" s="1035">
        <v>936</v>
      </c>
      <c r="B944" s="1035" t="s">
        <v>59</v>
      </c>
      <c r="C944" s="1035" t="s">
        <v>191</v>
      </c>
      <c r="D944" s="1117" t="s">
        <v>351</v>
      </c>
      <c r="E944" s="1118" t="s">
        <v>352</v>
      </c>
      <c r="F944" s="1118" t="s">
        <v>353</v>
      </c>
      <c r="G944" s="1118" t="s">
        <v>354</v>
      </c>
      <c r="H944" s="1118" t="s">
        <v>355</v>
      </c>
      <c r="I944" s="824"/>
      <c r="J944" s="824"/>
      <c r="K944" s="825"/>
      <c r="L944" s="820"/>
      <c r="M944" s="821"/>
      <c r="N944" s="801"/>
      <c r="O944" s="822"/>
      <c r="P944" s="822"/>
      <c r="Q944" s="822"/>
      <c r="R944" s="822"/>
      <c r="S944" s="822"/>
      <c r="T944" s="822"/>
      <c r="U944" s="822"/>
      <c r="V944" s="822"/>
      <c r="W944" s="822"/>
      <c r="X944" s="822"/>
      <c r="Y944" s="823"/>
      <c r="Z944" s="823"/>
      <c r="AA944" s="823"/>
    </row>
    <row r="945" spans="1:33" ht="15.75" thickBot="1" x14ac:dyDescent="0.3">
      <c r="A945" s="1035">
        <v>937</v>
      </c>
      <c r="B945" s="1035" t="s">
        <v>59</v>
      </c>
      <c r="C945" s="1035" t="s">
        <v>191</v>
      </c>
      <c r="D945" s="1142" t="s">
        <v>456</v>
      </c>
      <c r="E945" s="1098" t="s">
        <v>360</v>
      </c>
      <c r="F945" s="1143">
        <f>E941</f>
        <v>1</v>
      </c>
      <c r="G945" s="1279">
        <f>IF(E945=AIS_Yes,F945,0)*IF(U945=AIS_No,1,IF(H945=AA945,R945,IF(H945=AB945,S945,IF(H945=AC945,T945,1))))</f>
        <v>0</v>
      </c>
      <c r="H945" s="1327" t="s">
        <v>16</v>
      </c>
      <c r="I945" s="824"/>
      <c r="J945" s="824"/>
      <c r="K945" s="825"/>
      <c r="L945" s="820"/>
      <c r="M945" s="821"/>
      <c r="N945" s="801"/>
      <c r="O945" s="1266">
        <v>1</v>
      </c>
      <c r="P945" s="1266">
        <v>0.5</v>
      </c>
      <c r="Q945" s="1267">
        <v>1</v>
      </c>
      <c r="R945" s="1258" t="str">
        <f t="shared" ref="R945" si="72">IF($T$4=AIS_Yes,O945,AIS_NA)</f>
        <v>N/A</v>
      </c>
      <c r="S945" s="1259" t="str">
        <f t="shared" ref="S945" si="73">IF($T$4=AIS_Yes,P945,AIS_NA)</f>
        <v>N/A</v>
      </c>
      <c r="T945" s="1074" t="str">
        <f t="shared" ref="T945" si="74">IF($T$4=AIS_Yes,Q945,AIS_NA)</f>
        <v>N/A</v>
      </c>
      <c r="U945" s="1265" t="str">
        <f>IF(AND($T$4=AIS_Yes,OR(R945&lt;&gt;AIS_NA,S945&lt;&gt;AIS_NA,T945&lt;&gt;AIS_NA)),AIS_Yes,AIS_No)</f>
        <v>No</v>
      </c>
      <c r="V945" s="1258" t="str">
        <f>AIS_option01</f>
        <v>N/A</v>
      </c>
      <c r="W945" s="1259" t="str">
        <f>AIS_option02_50</f>
        <v>Option 2: -50%</v>
      </c>
      <c r="X945" s="1272" t="str">
        <f>AIS_option03</f>
        <v>N/A</v>
      </c>
      <c r="Y945" s="1273"/>
      <c r="Z945" s="1282"/>
      <c r="AA945" s="1274" t="str">
        <f>IF(U945=AIS_Yes,V945,AIS_NA)</f>
        <v>N/A</v>
      </c>
      <c r="AB945" s="1274" t="str">
        <f>IF(U945=AIS_Yes,W945,AIS_NA)</f>
        <v>N/A</v>
      </c>
      <c r="AC945" s="1275" t="str">
        <f>IF(U945=AIS_Yes,X945,AIS_NA)</f>
        <v>N/A</v>
      </c>
      <c r="AD945" s="1276" t="str">
        <f>C945</f>
        <v>Mat 05</v>
      </c>
      <c r="AE945" s="1262" t="str">
        <f>D945</f>
        <v>Suitable durability/protection measures to vulnerable building areas</v>
      </c>
      <c r="AF945" s="1263" t="str">
        <f>H945</f>
        <v>N/A</v>
      </c>
      <c r="AG945" s="768">
        <f>IF(U945=AIS_No,1,IF(H945=AA945,R945,IF(H945=AB945,S945,IF(H945=AC945,T945,1))))</f>
        <v>1</v>
      </c>
    </row>
    <row r="946" spans="1:33" x14ac:dyDescent="0.25">
      <c r="A946" s="1035">
        <v>938</v>
      </c>
      <c r="B946" s="1035" t="s">
        <v>59</v>
      </c>
      <c r="C946" s="1035" t="s">
        <v>191</v>
      </c>
      <c r="E946" s="1144"/>
      <c r="I946" s="824"/>
      <c r="J946" s="824"/>
      <c r="K946" s="825"/>
      <c r="L946" s="820"/>
      <c r="M946" s="821"/>
      <c r="N946" s="801"/>
      <c r="O946" s="822"/>
      <c r="P946" s="822"/>
      <c r="Q946" s="822"/>
      <c r="R946" s="822"/>
      <c r="S946" s="822"/>
      <c r="T946" s="822"/>
      <c r="U946" s="822"/>
      <c r="V946" s="822"/>
      <c r="W946" s="822"/>
      <c r="X946" s="822"/>
      <c r="Y946" s="823"/>
      <c r="Z946" s="823"/>
      <c r="AA946" s="823"/>
    </row>
    <row r="947" spans="1:33" x14ac:dyDescent="0.25">
      <c r="A947" s="1035">
        <v>939</v>
      </c>
      <c r="B947" s="1035" t="s">
        <v>59</v>
      </c>
      <c r="C947" s="1035" t="s">
        <v>191</v>
      </c>
      <c r="D947" s="1127" t="s">
        <v>356</v>
      </c>
      <c r="E947" s="1278">
        <f>G945</f>
        <v>0</v>
      </c>
      <c r="I947" s="1029"/>
      <c r="J947" s="824"/>
      <c r="K947" s="825"/>
      <c r="L947" s="820"/>
      <c r="M947" s="821"/>
      <c r="N947" s="801"/>
      <c r="O947" s="822"/>
      <c r="P947" s="822"/>
      <c r="Q947" s="822"/>
      <c r="R947" s="822"/>
      <c r="S947" s="822"/>
      <c r="T947" s="822"/>
      <c r="U947" s="822"/>
      <c r="V947" s="822"/>
      <c r="W947" s="822"/>
      <c r="X947" s="822"/>
      <c r="Y947" s="823"/>
      <c r="Z947" s="823"/>
      <c r="AA947" s="823"/>
    </row>
    <row r="948" spans="1:33" x14ac:dyDescent="0.25">
      <c r="A948" s="1035">
        <v>940</v>
      </c>
      <c r="B948" s="1035" t="s">
        <v>59</v>
      </c>
      <c r="C948" s="1035" t="s">
        <v>191</v>
      </c>
      <c r="D948" s="1129" t="s">
        <v>86</v>
      </c>
      <c r="E948" s="1130">
        <f>Mat05_06</f>
        <v>0</v>
      </c>
      <c r="I948" s="824"/>
      <c r="J948" s="824"/>
      <c r="K948" s="825"/>
      <c r="L948" s="820"/>
      <c r="M948" s="821"/>
      <c r="N948" s="801"/>
      <c r="O948" s="822"/>
      <c r="P948" s="822"/>
      <c r="Q948" s="822"/>
      <c r="R948" s="822"/>
      <c r="S948" s="822"/>
      <c r="T948" s="822"/>
      <c r="U948" s="822"/>
      <c r="V948" s="822"/>
      <c r="W948" s="822"/>
      <c r="X948" s="822"/>
      <c r="Y948" s="823"/>
      <c r="Z948" s="823"/>
      <c r="AA948" s="823"/>
    </row>
    <row r="949" spans="1:33" x14ac:dyDescent="0.25">
      <c r="A949" s="1035">
        <v>941</v>
      </c>
      <c r="B949" s="1035" t="s">
        <v>59</v>
      </c>
      <c r="C949" s="1035" t="s">
        <v>191</v>
      </c>
      <c r="D949" s="1131" t="s">
        <v>357</v>
      </c>
      <c r="E949" s="1128" t="s">
        <v>16</v>
      </c>
      <c r="I949" s="824"/>
      <c r="J949" s="824"/>
      <c r="K949" s="825"/>
      <c r="L949" s="820"/>
      <c r="M949" s="821"/>
      <c r="N949" s="801"/>
      <c r="O949" s="822"/>
      <c r="P949" s="822"/>
      <c r="Q949" s="822"/>
      <c r="R949" s="822"/>
      <c r="S949" s="822"/>
      <c r="T949" s="822"/>
      <c r="U949" s="822"/>
      <c r="V949" s="822"/>
      <c r="W949" s="822"/>
      <c r="X949" s="822"/>
      <c r="Y949" s="823"/>
      <c r="Z949" s="823"/>
      <c r="AA949" s="823"/>
    </row>
    <row r="950" spans="1:33" x14ac:dyDescent="0.25">
      <c r="A950" s="1035">
        <v>942</v>
      </c>
      <c r="B950" s="1035" t="s">
        <v>59</v>
      </c>
      <c r="C950" s="1035" t="s">
        <v>191</v>
      </c>
      <c r="D950" s="1132" t="s">
        <v>55</v>
      </c>
      <c r="E950" s="1133" t="s">
        <v>16</v>
      </c>
      <c r="F950" s="1134"/>
      <c r="G950" s="1135"/>
      <c r="I950" s="824"/>
      <c r="J950" s="824"/>
      <c r="K950" s="825"/>
      <c r="L950" s="820"/>
      <c r="M950" s="821"/>
      <c r="N950" s="801"/>
      <c r="O950" s="822"/>
      <c r="P950" s="822"/>
      <c r="Q950" s="822"/>
      <c r="R950" s="822"/>
      <c r="S950" s="822"/>
      <c r="T950" s="822"/>
      <c r="U950" s="822"/>
      <c r="V950" s="822"/>
      <c r="W950" s="822"/>
      <c r="X950" s="822"/>
      <c r="Y950" s="823"/>
      <c r="Z950" s="823"/>
      <c r="AA950" s="823"/>
    </row>
    <row r="951" spans="1:33" x14ac:dyDescent="0.25">
      <c r="A951" s="1035">
        <v>943</v>
      </c>
      <c r="B951" s="1035" t="s">
        <v>59</v>
      </c>
      <c r="C951" s="1035" t="s">
        <v>191</v>
      </c>
      <c r="I951" s="824"/>
      <c r="J951" s="824"/>
      <c r="K951" s="825"/>
      <c r="L951" s="820"/>
      <c r="M951" s="821"/>
      <c r="N951" s="801"/>
      <c r="O951" s="822"/>
      <c r="P951" s="822"/>
      <c r="Q951" s="822"/>
      <c r="R951" s="822"/>
      <c r="S951" s="822"/>
      <c r="T951" s="822"/>
      <c r="U951" s="822"/>
      <c r="V951" s="822"/>
      <c r="W951" s="822"/>
      <c r="X951" s="822"/>
      <c r="Y951" s="823"/>
      <c r="Z951" s="823"/>
      <c r="AA951" s="823"/>
    </row>
    <row r="952" spans="1:33" x14ac:dyDescent="0.25">
      <c r="A952" s="1035">
        <v>944</v>
      </c>
      <c r="B952" s="1035" t="s">
        <v>59</v>
      </c>
      <c r="C952" s="1035" t="s">
        <v>191</v>
      </c>
      <c r="D952" s="1136" t="s">
        <v>359</v>
      </c>
      <c r="E952" s="1136" t="s">
        <v>977</v>
      </c>
      <c r="F952" s="1136" t="str">
        <f>HLOOKUP(C952,'Assessment References'!$H$512:$BG$513,2,FALSE)</f>
        <v/>
      </c>
      <c r="G952" s="1137"/>
      <c r="H952" s="1138"/>
      <c r="I952" s="824"/>
      <c r="J952" s="824"/>
      <c r="K952" s="825"/>
      <c r="L952" s="820"/>
      <c r="M952" s="821"/>
      <c r="N952" s="801"/>
      <c r="O952" s="822"/>
      <c r="P952" s="822"/>
      <c r="Q952" s="822"/>
      <c r="R952" s="822"/>
      <c r="S952" s="822"/>
      <c r="T952" s="822"/>
      <c r="U952" s="822"/>
      <c r="V952" s="822"/>
      <c r="W952" s="822"/>
      <c r="X952" s="822"/>
      <c r="Y952" s="823"/>
      <c r="Z952" s="823"/>
      <c r="AA952" s="823"/>
    </row>
    <row r="953" spans="1:33" x14ac:dyDescent="0.25">
      <c r="A953" s="1035">
        <v>945</v>
      </c>
      <c r="B953" s="1035" t="s">
        <v>59</v>
      </c>
      <c r="C953" s="1035" t="s">
        <v>191</v>
      </c>
      <c r="D953" s="1363"/>
      <c r="E953" s="1352"/>
      <c r="F953" s="1352"/>
      <c r="G953" s="1352"/>
      <c r="H953" s="1353"/>
      <c r="I953" s="824"/>
      <c r="J953" s="824"/>
      <c r="K953" s="825"/>
      <c r="L953" s="820"/>
      <c r="M953" s="821"/>
      <c r="N953" s="801"/>
      <c r="O953" s="822"/>
      <c r="P953" s="822"/>
      <c r="Q953" s="822"/>
      <c r="R953" s="822"/>
      <c r="S953" s="822"/>
      <c r="T953" s="822"/>
      <c r="U953" s="822"/>
      <c r="V953" s="822"/>
      <c r="W953" s="822"/>
      <c r="X953" s="822"/>
      <c r="Y953" s="823"/>
      <c r="Z953" s="823"/>
      <c r="AA953" s="823"/>
    </row>
    <row r="954" spans="1:33" x14ac:dyDescent="0.25">
      <c r="A954" s="1035">
        <v>946</v>
      </c>
      <c r="B954" s="1035" t="s">
        <v>59</v>
      </c>
      <c r="C954" s="1035" t="s">
        <v>191</v>
      </c>
      <c r="D954" s="1354"/>
      <c r="E954" s="1355"/>
      <c r="F954" s="1355"/>
      <c r="G954" s="1355"/>
      <c r="H954" s="1356"/>
      <c r="I954" s="824"/>
      <c r="J954" s="824"/>
      <c r="K954" s="825"/>
      <c r="L954" s="820"/>
      <c r="M954" s="821"/>
      <c r="N954" s="801"/>
      <c r="O954" s="822"/>
      <c r="P954" s="822"/>
      <c r="Q954" s="822"/>
      <c r="R954" s="822"/>
      <c r="S954" s="822"/>
      <c r="T954" s="822"/>
      <c r="U954" s="822"/>
      <c r="V954" s="822"/>
      <c r="W954" s="822"/>
      <c r="X954" s="822"/>
      <c r="Y954" s="823"/>
      <c r="Z954" s="823"/>
      <c r="AA954" s="823"/>
    </row>
    <row r="955" spans="1:33" x14ac:dyDescent="0.25">
      <c r="A955" s="1035">
        <v>947</v>
      </c>
      <c r="B955" s="1035" t="s">
        <v>59</v>
      </c>
      <c r="C955" s="1035" t="s">
        <v>191</v>
      </c>
      <c r="D955" s="1354"/>
      <c r="E955" s="1355"/>
      <c r="F955" s="1355"/>
      <c r="G955" s="1355"/>
      <c r="H955" s="1356"/>
      <c r="I955" s="824"/>
      <c r="J955" s="824"/>
      <c r="K955" s="825"/>
      <c r="L955" s="820"/>
      <c r="M955" s="821"/>
      <c r="N955" s="801"/>
      <c r="O955" s="822"/>
      <c r="P955" s="822"/>
      <c r="Q955" s="822"/>
      <c r="R955" s="822"/>
      <c r="S955" s="822"/>
      <c r="T955" s="822"/>
      <c r="U955" s="822"/>
      <c r="V955" s="822"/>
      <c r="W955" s="822"/>
      <c r="X955" s="822"/>
      <c r="Y955" s="823"/>
      <c r="Z955" s="823"/>
      <c r="AA955" s="823"/>
    </row>
    <row r="956" spans="1:33" x14ac:dyDescent="0.25">
      <c r="A956" s="1035">
        <v>948</v>
      </c>
      <c r="B956" s="1035" t="s">
        <v>59</v>
      </c>
      <c r="C956" s="1035" t="s">
        <v>191</v>
      </c>
      <c r="D956" s="1364"/>
      <c r="E956" s="1358"/>
      <c r="F956" s="1358"/>
      <c r="G956" s="1358"/>
      <c r="H956" s="1359"/>
      <c r="I956" s="824"/>
      <c r="J956" s="824"/>
      <c r="K956" s="825"/>
      <c r="L956" s="820"/>
      <c r="M956" s="821"/>
      <c r="N956" s="801"/>
      <c r="O956" s="822"/>
      <c r="P956" s="822"/>
      <c r="Q956" s="822"/>
      <c r="R956" s="822"/>
      <c r="S956" s="822"/>
      <c r="T956" s="822"/>
      <c r="U956" s="822"/>
      <c r="V956" s="822"/>
      <c r="W956" s="822"/>
      <c r="X956" s="822"/>
      <c r="Y956" s="823"/>
      <c r="Z956" s="823"/>
      <c r="AA956" s="823"/>
    </row>
    <row r="957" spans="1:33" x14ac:dyDescent="0.25">
      <c r="A957" s="1035">
        <v>949</v>
      </c>
      <c r="B957" s="1035" t="s">
        <v>59</v>
      </c>
      <c r="C957" s="1035" t="s">
        <v>191</v>
      </c>
      <c r="D957" s="1364"/>
      <c r="E957" s="1358"/>
      <c r="F957" s="1358"/>
      <c r="G957" s="1358"/>
      <c r="H957" s="1359"/>
      <c r="I957" s="824"/>
      <c r="J957" s="824"/>
      <c r="K957" s="825"/>
      <c r="L957" s="820"/>
      <c r="M957" s="821"/>
      <c r="N957" s="801"/>
      <c r="O957" s="822"/>
      <c r="P957" s="822"/>
      <c r="Q957" s="822"/>
      <c r="R957" s="822"/>
      <c r="S957" s="822"/>
      <c r="T957" s="822"/>
      <c r="U957" s="822"/>
      <c r="V957" s="822"/>
      <c r="W957" s="822"/>
      <c r="X957" s="822"/>
      <c r="Y957" s="823"/>
      <c r="Z957" s="823"/>
      <c r="AA957" s="823"/>
    </row>
    <row r="958" spans="1:33" x14ac:dyDescent="0.25">
      <c r="A958" s="1035">
        <v>950</v>
      </c>
      <c r="B958" s="1035" t="s">
        <v>59</v>
      </c>
      <c r="C958" s="1035" t="s">
        <v>191</v>
      </c>
      <c r="D958" s="1360"/>
      <c r="E958" s="1361"/>
      <c r="F958" s="1361"/>
      <c r="G958" s="1361"/>
      <c r="H958" s="1362"/>
      <c r="I958" s="824"/>
      <c r="J958" s="824"/>
      <c r="K958" s="825"/>
      <c r="L958" s="820"/>
      <c r="M958" s="821"/>
      <c r="N958" s="801"/>
      <c r="O958" s="822"/>
      <c r="P958" s="822"/>
      <c r="Q958" s="822"/>
      <c r="R958" s="822"/>
      <c r="S958" s="822"/>
      <c r="T958" s="822"/>
      <c r="U958" s="822"/>
      <c r="V958" s="822"/>
      <c r="W958" s="822"/>
      <c r="X958" s="822"/>
      <c r="Y958" s="823"/>
      <c r="Z958" s="823"/>
      <c r="AA958" s="823"/>
    </row>
    <row r="959" spans="1:33" x14ac:dyDescent="0.25">
      <c r="A959" s="1035">
        <v>951</v>
      </c>
      <c r="B959" s="1035" t="s">
        <v>59</v>
      </c>
      <c r="C959" s="1035" t="s">
        <v>191</v>
      </c>
      <c r="D959" s="1193"/>
      <c r="E959" s="1193"/>
      <c r="F959" s="1156"/>
      <c r="G959" s="1156"/>
      <c r="H959" s="1156"/>
      <c r="I959" s="824"/>
      <c r="J959" s="824"/>
      <c r="K959" s="825"/>
      <c r="L959" s="820"/>
      <c r="M959" s="821"/>
      <c r="N959" s="801"/>
      <c r="O959" s="822"/>
      <c r="P959" s="822"/>
      <c r="Q959" s="822"/>
      <c r="R959" s="822"/>
      <c r="S959" s="822"/>
      <c r="T959" s="822"/>
      <c r="U959" s="822"/>
      <c r="V959" s="822"/>
      <c r="W959" s="822"/>
      <c r="X959" s="822"/>
      <c r="Y959" s="823"/>
      <c r="Z959" s="823"/>
      <c r="AA959" s="823"/>
    </row>
    <row r="960" spans="1:33" ht="18.75" x14ac:dyDescent="0.3">
      <c r="A960" s="1041">
        <v>952</v>
      </c>
      <c r="B960" s="1032" t="s">
        <v>60</v>
      </c>
      <c r="C960" s="1033"/>
      <c r="D960" s="1154"/>
      <c r="E960" s="1154"/>
      <c r="F960" s="1154"/>
      <c r="G960" s="1154"/>
      <c r="H960" s="1155"/>
      <c r="I960" s="824"/>
      <c r="J960" s="824"/>
      <c r="K960" s="825"/>
      <c r="L960" s="820"/>
      <c r="M960" s="821"/>
      <c r="N960" s="801"/>
      <c r="O960" s="822"/>
      <c r="P960" s="822"/>
      <c r="Q960" s="822"/>
      <c r="R960" s="822"/>
      <c r="S960" s="822"/>
      <c r="T960" s="822"/>
      <c r="U960" s="822"/>
      <c r="V960" s="822"/>
      <c r="W960" s="822"/>
      <c r="X960" s="822"/>
      <c r="Y960" s="823"/>
      <c r="Z960" s="823"/>
      <c r="AA960" s="823"/>
    </row>
    <row r="961" spans="1:27" ht="15.75" thickBot="1" x14ac:dyDescent="0.3">
      <c r="A961" s="1035">
        <v>953</v>
      </c>
      <c r="B961" s="1035" t="s">
        <v>60</v>
      </c>
      <c r="C961" s="1029"/>
      <c r="D961" s="1193"/>
      <c r="E961" s="1193"/>
      <c r="F961" s="1156"/>
      <c r="G961" s="1156"/>
      <c r="H961" s="1156"/>
      <c r="I961" s="824"/>
      <c r="J961" s="824"/>
      <c r="K961" s="825"/>
      <c r="L961" s="820"/>
      <c r="M961" s="821"/>
      <c r="N961" s="801"/>
      <c r="O961" s="822"/>
      <c r="P961" s="822"/>
      <c r="Q961" s="822"/>
      <c r="R961" s="822"/>
      <c r="S961" s="822"/>
      <c r="T961" s="822"/>
      <c r="U961" s="822"/>
      <c r="V961" s="822"/>
      <c r="W961" s="822"/>
      <c r="X961" s="822"/>
      <c r="Y961" s="823"/>
      <c r="Z961" s="823"/>
      <c r="AA961" s="823"/>
    </row>
    <row r="962" spans="1:27" ht="15.75" thickBot="1" x14ac:dyDescent="0.3">
      <c r="A962" s="1037">
        <v>954</v>
      </c>
      <c r="B962" s="1037" t="s">
        <v>60</v>
      </c>
      <c r="C962" s="802" t="s">
        <v>193</v>
      </c>
      <c r="D962" s="1103" t="s">
        <v>916</v>
      </c>
      <c r="E962" s="1104"/>
      <c r="F962" s="1104"/>
      <c r="G962" s="1105"/>
      <c r="H962" s="1105"/>
      <c r="I962" s="824"/>
      <c r="J962" s="824"/>
      <c r="K962" s="825"/>
      <c r="L962" s="809" t="str">
        <f>C962</f>
        <v>Wst 01</v>
      </c>
      <c r="M962" s="821"/>
      <c r="N962" s="801"/>
      <c r="O962" s="822"/>
      <c r="P962" s="822"/>
      <c r="Q962" s="822"/>
      <c r="R962" s="822"/>
      <c r="S962" s="822"/>
      <c r="T962" s="822"/>
      <c r="U962" s="822"/>
      <c r="V962" s="822"/>
      <c r="W962" s="822"/>
      <c r="X962" s="822"/>
      <c r="Y962" s="823"/>
      <c r="Z962" s="823"/>
      <c r="AA962" s="823"/>
    </row>
    <row r="963" spans="1:27" x14ac:dyDescent="0.25">
      <c r="A963" s="1035">
        <v>955</v>
      </c>
      <c r="B963" s="1035" t="s">
        <v>60</v>
      </c>
      <c r="C963" s="1035" t="s">
        <v>193</v>
      </c>
      <c r="D963" s="1107" t="s">
        <v>17</v>
      </c>
      <c r="E963" s="1108">
        <f>Wst01_credits</f>
        <v>3</v>
      </c>
      <c r="F963" s="1109"/>
      <c r="G963" s="1110" t="s">
        <v>85</v>
      </c>
      <c r="H963" s="1111">
        <f>Wst01_27</f>
        <v>3.7499999999999999E-2</v>
      </c>
      <c r="I963" s="824"/>
      <c r="J963" s="824"/>
      <c r="K963" s="825"/>
      <c r="L963" s="907" t="s">
        <v>464</v>
      </c>
      <c r="M963" s="821"/>
      <c r="N963" s="801"/>
      <c r="O963" s="822"/>
      <c r="P963" s="822"/>
      <c r="Q963" s="822"/>
      <c r="R963" s="822"/>
      <c r="S963" s="822"/>
      <c r="T963" s="822"/>
      <c r="U963" s="822"/>
      <c r="V963" s="822"/>
      <c r="W963" s="822"/>
      <c r="X963" s="822"/>
      <c r="Y963" s="823"/>
      <c r="Z963" s="823"/>
      <c r="AA963" s="823"/>
    </row>
    <row r="964" spans="1:27" ht="15.75" thickBot="1" x14ac:dyDescent="0.3">
      <c r="A964" s="1035">
        <v>956</v>
      </c>
      <c r="B964" s="1035" t="s">
        <v>60</v>
      </c>
      <c r="C964" s="1035" t="s">
        <v>193</v>
      </c>
      <c r="D964" s="1112" t="s">
        <v>349</v>
      </c>
      <c r="E964" s="1113">
        <f>Inn07_credits</f>
        <v>1</v>
      </c>
      <c r="F964" s="1114"/>
      <c r="G964" s="1115" t="s">
        <v>350</v>
      </c>
      <c r="H964" s="1116" t="s">
        <v>14</v>
      </c>
      <c r="I964" s="908"/>
      <c r="J964" s="908"/>
      <c r="K964" s="909"/>
      <c r="L964" s="888" t="s">
        <v>550</v>
      </c>
      <c r="M964" s="821"/>
      <c r="N964" s="801"/>
      <c r="O964" s="822"/>
      <c r="P964" s="822"/>
      <c r="Q964" s="822"/>
      <c r="R964" s="822"/>
      <c r="S964" s="822"/>
      <c r="T964" s="822"/>
      <c r="U964" s="822"/>
      <c r="V964" s="822"/>
      <c r="W964" s="822"/>
      <c r="X964" s="822"/>
      <c r="Y964" s="823"/>
      <c r="Z964" s="823"/>
      <c r="AA964" s="823"/>
    </row>
    <row r="965" spans="1:27" ht="15.75" thickBot="1" x14ac:dyDescent="0.3">
      <c r="A965" s="1035">
        <v>957</v>
      </c>
      <c r="B965" s="1035" t="s">
        <v>60</v>
      </c>
      <c r="C965" s="1035" t="s">
        <v>193</v>
      </c>
      <c r="I965" s="908"/>
      <c r="J965" s="908"/>
      <c r="K965" s="909"/>
      <c r="L965" s="906" t="str">
        <f>AIS_PS</f>
        <v>Please select</v>
      </c>
      <c r="M965" s="821"/>
      <c r="N965" s="801"/>
      <c r="O965" s="822"/>
      <c r="P965" s="822"/>
      <c r="Q965" s="822"/>
      <c r="R965" s="822"/>
      <c r="S965" s="822"/>
      <c r="T965" s="822"/>
      <c r="U965" s="822"/>
      <c r="V965" s="822"/>
      <c r="W965" s="822"/>
      <c r="X965" s="822"/>
      <c r="Y965" s="823"/>
      <c r="Z965" s="823"/>
      <c r="AA965" s="823"/>
    </row>
    <row r="966" spans="1:27" ht="15.75" thickBot="1" x14ac:dyDescent="0.3">
      <c r="A966" s="1035">
        <v>958</v>
      </c>
      <c r="B966" s="1035" t="s">
        <v>60</v>
      </c>
      <c r="C966" s="1035" t="s">
        <v>193</v>
      </c>
      <c r="D966" s="1117" t="s">
        <v>457</v>
      </c>
      <c r="E966" s="1118" t="s">
        <v>352</v>
      </c>
      <c r="F966" s="1118" t="s">
        <v>353</v>
      </c>
      <c r="G966" s="1118" t="s">
        <v>354</v>
      </c>
      <c r="H966" s="1118" t="s">
        <v>355</v>
      </c>
      <c r="I966" s="908"/>
      <c r="J966" s="908"/>
      <c r="K966" s="909"/>
      <c r="L966" s="841" t="s">
        <v>717</v>
      </c>
      <c r="M966" s="821"/>
      <c r="N966" s="801"/>
      <c r="O966" s="822"/>
      <c r="P966" s="822"/>
      <c r="Q966" s="822"/>
      <c r="R966" s="822"/>
      <c r="S966" s="822"/>
      <c r="T966" s="822"/>
      <c r="U966" s="822"/>
      <c r="V966" s="822"/>
      <c r="W966" s="822"/>
      <c r="X966" s="822"/>
      <c r="Y966" s="823"/>
      <c r="Z966" s="823"/>
      <c r="AA966" s="823"/>
    </row>
    <row r="967" spans="1:27" ht="15.75" thickBot="1" x14ac:dyDescent="0.3">
      <c r="A967" s="1035">
        <v>959</v>
      </c>
      <c r="B967" s="1035" t="s">
        <v>60</v>
      </c>
      <c r="C967" s="1035" t="s">
        <v>193</v>
      </c>
      <c r="D967" s="1119" t="s">
        <v>458</v>
      </c>
      <c r="E967" s="1093" t="s">
        <v>360</v>
      </c>
      <c r="F967" s="1143">
        <v>1</v>
      </c>
      <c r="G967" s="1143">
        <f>IF(AND(E967=AIS_Yes,E968=AIS_Yes,E969=AIS_Yes,E970=AIS_Yes,E971=AIS_Yes,E972=AIS_Yes,(OR(E973=AIS_Yes,E973=AIS_NA))),1,0)</f>
        <v>0</v>
      </c>
      <c r="H967" s="1322" t="s">
        <v>16</v>
      </c>
      <c r="I967" s="908"/>
      <c r="J967" s="908"/>
      <c r="K967" s="909"/>
      <c r="L967" s="910" t="s">
        <v>713</v>
      </c>
      <c r="M967" s="821"/>
      <c r="N967" s="801"/>
      <c r="O967" s="102" t="s">
        <v>1273</v>
      </c>
      <c r="P967" s="822"/>
      <c r="Q967" s="822"/>
      <c r="R967" s="822"/>
      <c r="S967" s="822"/>
      <c r="T967" s="822"/>
      <c r="U967" s="822" t="str">
        <f>$T$4</f>
        <v>No</v>
      </c>
      <c r="V967" s="822"/>
      <c r="W967" s="822"/>
      <c r="X967" s="822"/>
      <c r="Y967" s="823"/>
      <c r="Z967" s="823"/>
      <c r="AA967" s="823"/>
    </row>
    <row r="968" spans="1:27" x14ac:dyDescent="0.25">
      <c r="A968" s="1035">
        <v>960</v>
      </c>
      <c r="B968" s="1035" t="s">
        <v>60</v>
      </c>
      <c r="C968" s="1035" t="s">
        <v>193</v>
      </c>
      <c r="D968" s="1121" t="s">
        <v>459</v>
      </c>
      <c r="E968" s="1091" t="s">
        <v>360</v>
      </c>
      <c r="I968" s="824"/>
      <c r="J968" s="824"/>
      <c r="K968" s="909"/>
      <c r="L968" s="910" t="s">
        <v>715</v>
      </c>
      <c r="M968" s="821"/>
      <c r="N968" s="801"/>
      <c r="O968" s="822"/>
      <c r="P968" s="822"/>
      <c r="Q968" s="822"/>
      <c r="R968" s="822"/>
      <c r="S968" s="822"/>
      <c r="T968" s="822"/>
      <c r="U968" s="822"/>
      <c r="V968" s="822"/>
      <c r="W968" s="822"/>
      <c r="X968" s="822"/>
      <c r="Y968" s="823"/>
      <c r="Z968" s="823"/>
      <c r="AA968" s="823"/>
    </row>
    <row r="969" spans="1:27" ht="15.75" thickBot="1" x14ac:dyDescent="0.3">
      <c r="A969" s="1035">
        <v>961</v>
      </c>
      <c r="B969" s="1035" t="s">
        <v>60</v>
      </c>
      <c r="C969" s="1035" t="s">
        <v>193</v>
      </c>
      <c r="D969" s="1121" t="s">
        <v>461</v>
      </c>
      <c r="E969" s="1091" t="s">
        <v>360</v>
      </c>
      <c r="I969" s="908"/>
      <c r="J969" s="908"/>
      <c r="K969" s="909"/>
      <c r="L969" s="837" t="s">
        <v>716</v>
      </c>
      <c r="M969" s="821"/>
      <c r="N969" s="801"/>
      <c r="O969" s="822"/>
      <c r="P969" s="822"/>
      <c r="Q969" s="822"/>
      <c r="R969" s="822"/>
      <c r="S969" s="822"/>
      <c r="T969" s="822"/>
      <c r="U969" s="822"/>
      <c r="V969" s="822"/>
      <c r="W969" s="822"/>
      <c r="X969" s="822"/>
      <c r="Y969" s="823"/>
      <c r="Z969" s="823"/>
      <c r="AA969" s="823"/>
    </row>
    <row r="970" spans="1:27" x14ac:dyDescent="0.25">
      <c r="A970" s="1035">
        <v>962</v>
      </c>
      <c r="B970" s="1035" t="s">
        <v>60</v>
      </c>
      <c r="C970" s="1035" t="s">
        <v>193</v>
      </c>
      <c r="D970" s="1121" t="s">
        <v>462</v>
      </c>
      <c r="E970" s="1091" t="s">
        <v>360</v>
      </c>
      <c r="I970" s="908"/>
      <c r="J970" s="908"/>
      <c r="K970" s="909"/>
      <c r="L970" s="820"/>
      <c r="M970" s="821"/>
      <c r="N970" s="801"/>
      <c r="O970" s="822"/>
      <c r="P970" s="822"/>
      <c r="Q970" s="822"/>
      <c r="R970" s="822"/>
      <c r="S970" s="822"/>
      <c r="T970" s="822"/>
      <c r="U970" s="822"/>
      <c r="V970" s="822"/>
      <c r="W970" s="822"/>
      <c r="X970" s="822"/>
      <c r="Y970" s="823"/>
      <c r="Z970" s="823"/>
      <c r="AA970" s="823"/>
    </row>
    <row r="971" spans="1:27" x14ac:dyDescent="0.25">
      <c r="A971" s="1035">
        <v>963</v>
      </c>
      <c r="B971" s="1035" t="s">
        <v>60</v>
      </c>
      <c r="C971" s="1035" t="s">
        <v>193</v>
      </c>
      <c r="D971" s="1121" t="s">
        <v>711</v>
      </c>
      <c r="E971" s="1091" t="s">
        <v>360</v>
      </c>
      <c r="I971" s="908"/>
      <c r="J971" s="908"/>
      <c r="K971" s="909"/>
      <c r="L971" s="820"/>
      <c r="M971" s="821"/>
      <c r="N971" s="801"/>
      <c r="O971" s="822"/>
      <c r="P971" s="822"/>
      <c r="Q971" s="822"/>
      <c r="R971" s="822"/>
      <c r="S971" s="822"/>
      <c r="T971" s="822"/>
      <c r="U971" s="822"/>
      <c r="V971" s="822"/>
      <c r="W971" s="822"/>
      <c r="X971" s="822"/>
      <c r="Y971" s="823"/>
      <c r="Z971" s="823"/>
      <c r="AA971" s="823"/>
    </row>
    <row r="972" spans="1:27" x14ac:dyDescent="0.25">
      <c r="A972" s="1035">
        <v>964</v>
      </c>
      <c r="B972" s="1035" t="s">
        <v>60</v>
      </c>
      <c r="C972" s="1035" t="s">
        <v>193</v>
      </c>
      <c r="D972" s="1121" t="s">
        <v>551</v>
      </c>
      <c r="E972" s="1091" t="s">
        <v>360</v>
      </c>
      <c r="I972" s="908"/>
      <c r="J972" s="908"/>
      <c r="K972" s="909"/>
      <c r="L972" s="820"/>
      <c r="M972" s="821"/>
      <c r="N972" s="801"/>
      <c r="O972" s="822"/>
      <c r="P972" s="822"/>
      <c r="Q972" s="822"/>
      <c r="R972" s="822"/>
      <c r="S972" s="822"/>
      <c r="T972" s="822"/>
      <c r="U972" s="822"/>
      <c r="V972" s="822"/>
      <c r="W972" s="822"/>
      <c r="X972" s="822"/>
      <c r="Y972" s="823"/>
      <c r="Z972" s="823"/>
      <c r="AA972" s="823"/>
    </row>
    <row r="973" spans="1:27" ht="15.75" thickBot="1" x14ac:dyDescent="0.3">
      <c r="A973" s="1035">
        <v>965</v>
      </c>
      <c r="B973" s="1035" t="s">
        <v>60</v>
      </c>
      <c r="C973" s="1035" t="s">
        <v>193</v>
      </c>
      <c r="D973" s="1123" t="s">
        <v>712</v>
      </c>
      <c r="E973" s="1092" t="s">
        <v>360</v>
      </c>
      <c r="I973" s="908"/>
      <c r="J973" s="908"/>
      <c r="K973" s="909"/>
      <c r="L973" s="820"/>
      <c r="M973" s="821"/>
      <c r="N973" s="801"/>
      <c r="O973" s="822"/>
      <c r="P973" s="822"/>
      <c r="Q973" s="822"/>
      <c r="R973" s="822"/>
      <c r="S973" s="822"/>
      <c r="T973" s="822"/>
      <c r="U973" s="822"/>
      <c r="V973" s="822"/>
      <c r="W973" s="822"/>
      <c r="X973" s="822"/>
      <c r="Y973" s="823"/>
      <c r="Z973" s="823"/>
      <c r="AA973" s="823"/>
    </row>
    <row r="974" spans="1:27" ht="15.75" thickBot="1" x14ac:dyDescent="0.3">
      <c r="A974" s="1035">
        <v>966</v>
      </c>
      <c r="B974" s="1035" t="s">
        <v>60</v>
      </c>
      <c r="C974" s="1035" t="s">
        <v>193</v>
      </c>
      <c r="I974" s="908"/>
      <c r="J974" s="908"/>
      <c r="K974" s="909"/>
      <c r="L974" s="820"/>
      <c r="M974" s="821"/>
      <c r="N974" s="801"/>
      <c r="O974" s="822"/>
      <c r="P974" s="822"/>
      <c r="Q974" s="822"/>
      <c r="R974" s="822"/>
      <c r="S974" s="822"/>
      <c r="T974" s="822"/>
      <c r="U974" s="822"/>
      <c r="V974" s="822"/>
      <c r="W974" s="822"/>
      <c r="X974" s="822"/>
      <c r="Y974" s="823"/>
      <c r="Z974" s="823"/>
      <c r="AA974" s="823"/>
    </row>
    <row r="975" spans="1:27" ht="15.75" thickBot="1" x14ac:dyDescent="0.3">
      <c r="A975" s="1035">
        <v>967</v>
      </c>
      <c r="B975" s="1035" t="s">
        <v>60</v>
      </c>
      <c r="C975" s="1035" t="s">
        <v>193</v>
      </c>
      <c r="D975" s="1142" t="s">
        <v>463</v>
      </c>
      <c r="E975" s="1098"/>
      <c r="F975" s="1194" t="s">
        <v>550</v>
      </c>
      <c r="G975" s="1145" t="s">
        <v>460</v>
      </c>
      <c r="I975" s="844"/>
      <c r="J975" s="844"/>
      <c r="K975" s="909"/>
      <c r="L975" s="820" t="str">
        <f>IF(OR(KPI_28="",KPI_28=0),"feil",IFERROR(KPI_28/1,"feil"))</f>
        <v>feil</v>
      </c>
      <c r="M975" s="821"/>
      <c r="N975" s="801"/>
      <c r="O975" s="822"/>
      <c r="P975" s="822"/>
      <c r="Q975" s="822"/>
      <c r="R975" s="822"/>
      <c r="S975" s="822"/>
      <c r="T975" s="822"/>
      <c r="U975" s="822"/>
      <c r="V975" s="822"/>
      <c r="W975" s="822"/>
      <c r="X975" s="822"/>
      <c r="Y975" s="823"/>
      <c r="Z975" s="823"/>
      <c r="AA975" s="823"/>
    </row>
    <row r="976" spans="1:27" x14ac:dyDescent="0.25">
      <c r="A976" s="1035">
        <v>968</v>
      </c>
      <c r="B976" s="1035" t="s">
        <v>60</v>
      </c>
      <c r="C976" s="1035" t="s">
        <v>193</v>
      </c>
      <c r="I976" s="908"/>
      <c r="J976" s="908"/>
      <c r="K976" s="909"/>
      <c r="L976" s="820"/>
      <c r="M976" s="821"/>
      <c r="N976" s="801"/>
      <c r="O976" s="822"/>
      <c r="P976" s="822"/>
      <c r="Q976" s="822"/>
      <c r="R976" s="822"/>
      <c r="S976" s="822"/>
      <c r="T976" s="822"/>
      <c r="U976" s="822"/>
      <c r="V976" s="822"/>
      <c r="W976" s="822"/>
      <c r="X976" s="822"/>
      <c r="Y976" s="823"/>
      <c r="Z976" s="823"/>
      <c r="AA976" s="823"/>
    </row>
    <row r="977" spans="1:27" ht="15.75" thickBot="1" x14ac:dyDescent="0.3">
      <c r="A977" s="1035">
        <v>969</v>
      </c>
      <c r="B977" s="1035"/>
      <c r="C977" s="1035"/>
      <c r="D977" s="1117" t="s">
        <v>1074</v>
      </c>
      <c r="E977" s="1118" t="s">
        <v>352</v>
      </c>
      <c r="F977" s="1118" t="s">
        <v>353</v>
      </c>
      <c r="G977" s="1118" t="s">
        <v>354</v>
      </c>
      <c r="H977" s="1118" t="s">
        <v>355</v>
      </c>
      <c r="I977" s="908"/>
      <c r="J977" s="908"/>
      <c r="K977" s="909"/>
      <c r="L977" s="820"/>
      <c r="M977" s="821"/>
      <c r="N977" s="801"/>
      <c r="O977" s="822"/>
      <c r="P977" s="822"/>
      <c r="Q977" s="822"/>
      <c r="R977" s="822"/>
      <c r="S977" s="822"/>
      <c r="T977" s="822"/>
      <c r="U977" s="822"/>
      <c r="V977" s="822"/>
      <c r="W977" s="822"/>
      <c r="X977" s="822"/>
      <c r="Y977" s="823"/>
      <c r="Z977" s="823"/>
      <c r="AA977" s="823"/>
    </row>
    <row r="978" spans="1:27" ht="15.75" thickBot="1" x14ac:dyDescent="0.3">
      <c r="A978" s="1035">
        <v>970</v>
      </c>
      <c r="B978" s="1035" t="s">
        <v>60</v>
      </c>
      <c r="C978" s="1035" t="s">
        <v>193</v>
      </c>
      <c r="D978" s="1119" t="s">
        <v>714</v>
      </c>
      <c r="E978" s="1093" t="s">
        <v>360</v>
      </c>
      <c r="F978" s="1143">
        <v>2</v>
      </c>
      <c r="G978" s="1143">
        <f>IF(E978=L967,1,IF(OR(E978=L968,E978=L969),2,0))</f>
        <v>0</v>
      </c>
      <c r="H978" s="1322" t="s">
        <v>16</v>
      </c>
      <c r="I978" s="1040" t="s">
        <v>864</v>
      </c>
      <c r="J978" s="908"/>
      <c r="K978" s="909"/>
      <c r="L978" s="820"/>
      <c r="M978" s="821"/>
      <c r="N978" s="801"/>
      <c r="O978" s="102" t="s">
        <v>1273</v>
      </c>
      <c r="P978" s="822"/>
      <c r="Q978" s="822"/>
      <c r="R978" s="822"/>
      <c r="S978" s="822"/>
      <c r="T978" s="822"/>
      <c r="U978" s="822" t="str">
        <f>$T$4</f>
        <v>No</v>
      </c>
      <c r="V978" s="822"/>
      <c r="W978" s="822"/>
      <c r="X978" s="822"/>
      <c r="Y978" s="823"/>
      <c r="Z978" s="823"/>
      <c r="AA978" s="823"/>
    </row>
    <row r="979" spans="1:27" ht="15.75" thickBot="1" x14ac:dyDescent="0.3">
      <c r="A979" s="1035">
        <v>971</v>
      </c>
      <c r="B979" s="1035"/>
      <c r="C979" s="1035"/>
      <c r="D979" s="1123" t="s">
        <v>714</v>
      </c>
      <c r="E979" s="1092"/>
      <c r="F979" s="1194" t="s">
        <v>550</v>
      </c>
      <c r="G979" s="1145" t="s">
        <v>460</v>
      </c>
      <c r="I979" s="908"/>
      <c r="J979" s="908"/>
      <c r="K979" s="909"/>
      <c r="L979" s="820" t="str">
        <f>IF(OR(KPI_29="",KPI_29=0),"feil",IFERROR(KPI_29/1,"feil"))</f>
        <v>feil</v>
      </c>
      <c r="M979" s="821"/>
      <c r="N979" s="801"/>
      <c r="O979" s="822"/>
      <c r="P979" s="822"/>
      <c r="Q979" s="822"/>
      <c r="R979" s="822"/>
      <c r="S979" s="822"/>
      <c r="T979" s="822"/>
      <c r="U979" s="822"/>
      <c r="V979" s="822"/>
      <c r="W979" s="822"/>
      <c r="X979" s="822"/>
      <c r="Y979" s="823"/>
      <c r="Z979" s="823"/>
      <c r="AA979" s="823"/>
    </row>
    <row r="980" spans="1:27" x14ac:dyDescent="0.25">
      <c r="A980" s="1035">
        <v>972</v>
      </c>
      <c r="B980" s="1035" t="s">
        <v>60</v>
      </c>
      <c r="C980" s="1035" t="s">
        <v>193</v>
      </c>
      <c r="I980" s="908"/>
      <c r="J980" s="908"/>
      <c r="K980" s="909"/>
      <c r="L980" s="820"/>
      <c r="M980" s="821"/>
      <c r="N980" s="801"/>
      <c r="O980" s="822"/>
      <c r="P980" s="822"/>
      <c r="Q980" s="822"/>
      <c r="R980" s="822"/>
      <c r="S980" s="822"/>
      <c r="T980" s="822"/>
      <c r="U980" s="822"/>
      <c r="V980" s="822"/>
      <c r="W980" s="822"/>
      <c r="X980" s="822"/>
      <c r="Y980" s="823"/>
      <c r="Z980" s="823"/>
      <c r="AA980" s="823"/>
    </row>
    <row r="981" spans="1:27" x14ac:dyDescent="0.25">
      <c r="A981" s="1035">
        <v>973</v>
      </c>
      <c r="B981" s="1035" t="s">
        <v>60</v>
      </c>
      <c r="C981" s="1035" t="s">
        <v>193</v>
      </c>
      <c r="D981" s="1127" t="s">
        <v>356</v>
      </c>
      <c r="E981" s="1128">
        <f>IF((G967+G978)&gt;E963,E963,G967+G978)</f>
        <v>0</v>
      </c>
      <c r="G981" s="1195"/>
      <c r="I981" s="1029"/>
      <c r="J981" s="908"/>
      <c r="K981" s="909"/>
      <c r="L981" s="820"/>
      <c r="M981" s="821"/>
      <c r="N981" s="801"/>
      <c r="O981" s="822"/>
      <c r="P981" s="822"/>
      <c r="Q981" s="822"/>
      <c r="R981" s="822"/>
      <c r="S981" s="822"/>
      <c r="T981" s="822"/>
      <c r="U981" s="822"/>
      <c r="V981" s="822"/>
      <c r="W981" s="822"/>
      <c r="X981" s="822"/>
      <c r="Y981" s="823"/>
      <c r="Z981" s="823"/>
      <c r="AA981" s="823"/>
    </row>
    <row r="982" spans="1:27" x14ac:dyDescent="0.25">
      <c r="A982" s="1035">
        <v>974</v>
      </c>
      <c r="B982" s="1035" t="s">
        <v>60</v>
      </c>
      <c r="C982" s="1035" t="s">
        <v>193</v>
      </c>
      <c r="D982" s="1129" t="s">
        <v>86</v>
      </c>
      <c r="E982" s="1130">
        <f>Wst01_28</f>
        <v>0</v>
      </c>
      <c r="I982" s="908"/>
      <c r="J982" s="908"/>
      <c r="K982" s="909"/>
      <c r="L982" s="820"/>
      <c r="M982" s="821"/>
      <c r="N982" s="801"/>
      <c r="O982" s="822"/>
      <c r="P982" s="822"/>
      <c r="Q982" s="822"/>
      <c r="R982" s="822"/>
      <c r="S982" s="822"/>
      <c r="T982" s="822"/>
      <c r="U982" s="822"/>
      <c r="V982" s="822"/>
      <c r="W982" s="822"/>
      <c r="X982" s="822"/>
      <c r="Y982" s="823"/>
      <c r="Z982" s="823"/>
      <c r="AA982" s="823"/>
    </row>
    <row r="983" spans="1:27" x14ac:dyDescent="0.25">
      <c r="A983" s="1035">
        <v>975</v>
      </c>
      <c r="B983" s="1035" t="s">
        <v>60</v>
      </c>
      <c r="C983" s="1035" t="s">
        <v>193</v>
      </c>
      <c r="D983" s="1131" t="s">
        <v>357</v>
      </c>
      <c r="E983" s="1128">
        <f>IF(OR(E978=L967,E978=L968),0,IF(E978=L969,E964,0))</f>
        <v>0</v>
      </c>
      <c r="I983" s="908"/>
      <c r="J983" s="908"/>
      <c r="K983" s="909"/>
      <c r="L983" s="820"/>
      <c r="M983" s="821"/>
      <c r="N983" s="801"/>
      <c r="O983" s="822"/>
      <c r="P983" s="822"/>
      <c r="Q983" s="822"/>
      <c r="R983" s="822"/>
      <c r="S983" s="822"/>
      <c r="T983" s="822"/>
      <c r="U983" s="822"/>
      <c r="V983" s="822"/>
      <c r="W983" s="822"/>
      <c r="X983" s="822"/>
      <c r="Y983" s="823"/>
      <c r="Z983" s="823"/>
      <c r="AA983" s="823"/>
    </row>
    <row r="984" spans="1:27" x14ac:dyDescent="0.25">
      <c r="A984" s="1035">
        <v>976</v>
      </c>
      <c r="B984" s="1035" t="s">
        <v>60</v>
      </c>
      <c r="C984" s="1035" t="s">
        <v>193</v>
      </c>
      <c r="D984" s="1132" t="s">
        <v>55</v>
      </c>
      <c r="E984" s="1149" t="str">
        <f>Wst01_18</f>
        <v>Excellent</v>
      </c>
      <c r="F984" s="1134"/>
      <c r="G984" s="1135"/>
      <c r="I984" s="908"/>
      <c r="J984" s="908"/>
      <c r="K984" s="909"/>
      <c r="L984" s="889"/>
      <c r="M984" s="821"/>
      <c r="N984" s="801"/>
      <c r="O984" s="822"/>
      <c r="P984" s="822"/>
      <c r="Q984" s="822"/>
      <c r="R984" s="822"/>
      <c r="S984" s="822"/>
      <c r="T984" s="822"/>
      <c r="U984" s="822"/>
      <c r="V984" s="822"/>
      <c r="W984" s="822"/>
      <c r="X984" s="822"/>
      <c r="Y984" s="823"/>
      <c r="Z984" s="823"/>
      <c r="AA984" s="823"/>
    </row>
    <row r="985" spans="1:27" x14ac:dyDescent="0.25">
      <c r="A985" s="1035">
        <v>977</v>
      </c>
      <c r="B985" s="1035" t="s">
        <v>60</v>
      </c>
      <c r="C985" s="1035" t="s">
        <v>193</v>
      </c>
      <c r="I985" s="908"/>
      <c r="J985" s="908"/>
      <c r="K985" s="909"/>
      <c r="L985" s="820"/>
      <c r="M985" s="821"/>
      <c r="N985" s="801"/>
      <c r="O985" s="822"/>
      <c r="P985" s="822"/>
      <c r="Q985" s="822"/>
      <c r="R985" s="822"/>
      <c r="S985" s="822"/>
      <c r="T985" s="822"/>
      <c r="U985" s="822"/>
      <c r="V985" s="822"/>
      <c r="W985" s="822"/>
      <c r="X985" s="822"/>
      <c r="Y985" s="823"/>
      <c r="Z985" s="823"/>
      <c r="AA985" s="823"/>
    </row>
    <row r="986" spans="1:27" x14ac:dyDescent="0.25">
      <c r="A986" s="1035">
        <v>978</v>
      </c>
      <c r="B986" s="1035" t="s">
        <v>60</v>
      </c>
      <c r="C986" s="1035" t="s">
        <v>193</v>
      </c>
      <c r="D986" s="1136" t="s">
        <v>359</v>
      </c>
      <c r="E986" s="1136" t="s">
        <v>977</v>
      </c>
      <c r="F986" s="1136" t="str">
        <f>HLOOKUP(C986,'Assessment References'!$H$512:$BG$513,2,FALSE)</f>
        <v/>
      </c>
      <c r="G986" s="1137"/>
      <c r="H986" s="1138"/>
      <c r="I986" s="908"/>
      <c r="J986" s="908"/>
      <c r="K986" s="909"/>
      <c r="L986" s="820"/>
      <c r="M986" s="821"/>
      <c r="N986" s="801"/>
      <c r="O986" s="822"/>
      <c r="P986" s="822"/>
      <c r="Q986" s="822"/>
      <c r="R986" s="822"/>
      <c r="S986" s="822"/>
      <c r="T986" s="822"/>
      <c r="U986" s="822"/>
      <c r="V986" s="822"/>
      <c r="W986" s="822"/>
      <c r="X986" s="822"/>
      <c r="Y986" s="823"/>
      <c r="Z986" s="823"/>
      <c r="AA986" s="823"/>
    </row>
    <row r="987" spans="1:27" x14ac:dyDescent="0.25">
      <c r="A987" s="1035">
        <v>979</v>
      </c>
      <c r="B987" s="1035" t="s">
        <v>60</v>
      </c>
      <c r="C987" s="1035" t="s">
        <v>193</v>
      </c>
      <c r="D987" s="1363"/>
      <c r="E987" s="1352"/>
      <c r="F987" s="1352"/>
      <c r="G987" s="1352"/>
      <c r="H987" s="1353"/>
      <c r="I987" s="908"/>
      <c r="J987" s="908"/>
      <c r="K987" s="909"/>
      <c r="L987" s="820"/>
      <c r="M987" s="821"/>
      <c r="N987" s="801"/>
      <c r="O987" s="822"/>
      <c r="P987" s="822"/>
      <c r="Q987" s="822"/>
      <c r="R987" s="822"/>
      <c r="S987" s="822"/>
      <c r="T987" s="822"/>
      <c r="U987" s="822"/>
      <c r="V987" s="822"/>
      <c r="W987" s="822"/>
      <c r="X987" s="822"/>
      <c r="Y987" s="823"/>
      <c r="Z987" s="823"/>
      <c r="AA987" s="823"/>
    </row>
    <row r="988" spans="1:27" x14ac:dyDescent="0.25">
      <c r="A988" s="1035">
        <v>980</v>
      </c>
      <c r="B988" s="1035" t="s">
        <v>60</v>
      </c>
      <c r="C988" s="1035" t="s">
        <v>193</v>
      </c>
      <c r="D988" s="1354"/>
      <c r="E988" s="1355"/>
      <c r="F988" s="1355"/>
      <c r="G988" s="1355"/>
      <c r="H988" s="1356"/>
      <c r="I988" s="908"/>
      <c r="J988" s="908"/>
      <c r="K988" s="909"/>
      <c r="L988" s="820"/>
      <c r="M988" s="821"/>
      <c r="N988" s="801"/>
      <c r="O988" s="822"/>
      <c r="P988" s="822"/>
      <c r="Q988" s="822"/>
      <c r="R988" s="822"/>
      <c r="S988" s="822"/>
      <c r="T988" s="822"/>
      <c r="U988" s="822"/>
      <c r="V988" s="822"/>
      <c r="W988" s="822"/>
      <c r="X988" s="822"/>
      <c r="Y988" s="823"/>
      <c r="Z988" s="823"/>
      <c r="AA988" s="823"/>
    </row>
    <row r="989" spans="1:27" x14ac:dyDescent="0.25">
      <c r="A989" s="1035">
        <v>981</v>
      </c>
      <c r="B989" s="1035" t="s">
        <v>60</v>
      </c>
      <c r="C989" s="1035" t="s">
        <v>193</v>
      </c>
      <c r="D989" s="1354"/>
      <c r="E989" s="1355"/>
      <c r="F989" s="1355"/>
      <c r="G989" s="1355"/>
      <c r="H989" s="1356"/>
      <c r="I989" s="908"/>
      <c r="J989" s="908"/>
      <c r="K989" s="909"/>
      <c r="L989" s="820"/>
      <c r="M989" s="821"/>
      <c r="N989" s="801"/>
      <c r="O989" s="822"/>
      <c r="P989" s="822"/>
      <c r="Q989" s="822"/>
      <c r="R989" s="822"/>
      <c r="S989" s="822"/>
      <c r="T989" s="822"/>
      <c r="U989" s="822"/>
      <c r="V989" s="822"/>
      <c r="W989" s="822"/>
      <c r="X989" s="822"/>
      <c r="Y989" s="823"/>
      <c r="Z989" s="823"/>
      <c r="AA989" s="823"/>
    </row>
    <row r="990" spans="1:27" x14ac:dyDescent="0.25">
      <c r="A990" s="1035">
        <v>982</v>
      </c>
      <c r="B990" s="1035" t="s">
        <v>60</v>
      </c>
      <c r="C990" s="1035" t="s">
        <v>193</v>
      </c>
      <c r="D990" s="1364"/>
      <c r="E990" s="1358"/>
      <c r="F990" s="1358"/>
      <c r="G990" s="1358"/>
      <c r="H990" s="1359"/>
      <c r="I990" s="908"/>
      <c r="J990" s="908"/>
      <c r="K990" s="909"/>
      <c r="L990" s="820"/>
      <c r="M990" s="821"/>
      <c r="N990" s="801"/>
      <c r="O990" s="822"/>
      <c r="P990" s="822"/>
      <c r="Q990" s="822"/>
      <c r="R990" s="822"/>
      <c r="S990" s="822"/>
      <c r="T990" s="822"/>
      <c r="U990" s="822"/>
      <c r="V990" s="822"/>
      <c r="W990" s="822"/>
      <c r="X990" s="822"/>
      <c r="Y990" s="823"/>
      <c r="Z990" s="823"/>
      <c r="AA990" s="823"/>
    </row>
    <row r="991" spans="1:27" x14ac:dyDescent="0.25">
      <c r="A991" s="1035">
        <v>983</v>
      </c>
      <c r="B991" s="1035" t="s">
        <v>60</v>
      </c>
      <c r="C991" s="1035" t="s">
        <v>193</v>
      </c>
      <c r="D991" s="1364"/>
      <c r="E991" s="1358"/>
      <c r="F991" s="1358"/>
      <c r="G991" s="1358"/>
      <c r="H991" s="1359"/>
      <c r="I991" s="908"/>
      <c r="J991" s="908"/>
      <c r="K991" s="909"/>
      <c r="L991" s="820"/>
      <c r="M991" s="821"/>
      <c r="N991" s="801"/>
      <c r="O991" s="822"/>
      <c r="P991" s="822"/>
      <c r="Q991" s="822"/>
      <c r="R991" s="822"/>
      <c r="S991" s="822"/>
      <c r="T991" s="822"/>
      <c r="U991" s="822"/>
      <c r="V991" s="822"/>
      <c r="W991" s="822"/>
      <c r="X991" s="822"/>
      <c r="Y991" s="823"/>
      <c r="Z991" s="823"/>
      <c r="AA991" s="823"/>
    </row>
    <row r="992" spans="1:27" x14ac:dyDescent="0.25">
      <c r="A992" s="1035">
        <v>984</v>
      </c>
      <c r="B992" s="1035" t="s">
        <v>60</v>
      </c>
      <c r="C992" s="1035" t="s">
        <v>193</v>
      </c>
      <c r="D992" s="1360"/>
      <c r="E992" s="1361"/>
      <c r="F992" s="1361"/>
      <c r="G992" s="1361"/>
      <c r="H992" s="1362"/>
      <c r="I992" s="908"/>
      <c r="J992" s="908"/>
      <c r="K992" s="909"/>
      <c r="L992" s="820"/>
      <c r="M992" s="821"/>
      <c r="N992" s="801"/>
      <c r="O992" s="822"/>
      <c r="P992" s="822"/>
      <c r="Q992" s="822"/>
      <c r="R992" s="822"/>
      <c r="S992" s="822"/>
      <c r="T992" s="822"/>
      <c r="U992" s="822"/>
      <c r="V992" s="822"/>
      <c r="W992" s="822"/>
      <c r="X992" s="822"/>
      <c r="Y992" s="823"/>
      <c r="Z992" s="823"/>
      <c r="AA992" s="823"/>
    </row>
    <row r="993" spans="1:27" ht="15.75" thickBot="1" x14ac:dyDescent="0.3">
      <c r="A993" s="1035">
        <v>985</v>
      </c>
      <c r="B993" s="1035" t="s">
        <v>60</v>
      </c>
      <c r="C993" s="1035" t="s">
        <v>193</v>
      </c>
      <c r="D993" s="1196"/>
      <c r="E993" s="1197"/>
      <c r="F993" s="1197"/>
      <c r="G993" s="1197"/>
      <c r="H993" s="1197"/>
      <c r="I993" s="908"/>
      <c r="J993" s="908"/>
      <c r="K993" s="909"/>
      <c r="L993" s="820"/>
      <c r="M993" s="821"/>
      <c r="N993" s="801"/>
      <c r="O993" s="822"/>
      <c r="P993" s="822"/>
      <c r="Q993" s="822"/>
      <c r="R993" s="822"/>
      <c r="S993" s="822"/>
      <c r="T993" s="822"/>
      <c r="U993" s="822"/>
      <c r="V993" s="822"/>
      <c r="W993" s="822"/>
      <c r="X993" s="822"/>
      <c r="Y993" s="823"/>
      <c r="Z993" s="823"/>
      <c r="AA993" s="823"/>
    </row>
    <row r="994" spans="1:27" ht="15.75" thickBot="1" x14ac:dyDescent="0.3">
      <c r="A994" s="1037">
        <v>986</v>
      </c>
      <c r="B994" s="1037" t="s">
        <v>60</v>
      </c>
      <c r="C994" s="802" t="s">
        <v>194</v>
      </c>
      <c r="D994" s="1103" t="s">
        <v>917</v>
      </c>
      <c r="E994" s="1104"/>
      <c r="F994" s="1104"/>
      <c r="G994" s="1105"/>
      <c r="H994" s="1105"/>
      <c r="I994" s="908"/>
      <c r="J994" s="908"/>
      <c r="K994" s="909"/>
      <c r="L994" s="804" t="str">
        <f>C994</f>
        <v>Wst 02</v>
      </c>
      <c r="M994" s="821"/>
      <c r="N994" s="801"/>
      <c r="O994" s="822"/>
      <c r="P994" s="822"/>
      <c r="Q994" s="822"/>
      <c r="R994" s="822"/>
      <c r="S994" s="822"/>
      <c r="T994" s="822"/>
      <c r="U994" s="822"/>
      <c r="V994" s="822"/>
      <c r="W994" s="822"/>
      <c r="X994" s="822"/>
      <c r="Y994" s="823"/>
      <c r="Z994" s="823"/>
      <c r="AA994" s="823"/>
    </row>
    <row r="995" spans="1:27" x14ac:dyDescent="0.25">
      <c r="A995" s="1035">
        <v>987</v>
      </c>
      <c r="B995" s="1035" t="s">
        <v>60</v>
      </c>
      <c r="C995" s="1035" t="s">
        <v>194</v>
      </c>
      <c r="D995" s="1107" t="s">
        <v>17</v>
      </c>
      <c r="E995" s="1108">
        <f>Wst02_credits</f>
        <v>1</v>
      </c>
      <c r="F995" s="1109"/>
      <c r="G995" s="1110" t="s">
        <v>85</v>
      </c>
      <c r="H995" s="1111">
        <f>Wst02_14</f>
        <v>1.2499999999999999E-2</v>
      </c>
      <c r="I995" s="908"/>
      <c r="J995" s="908"/>
      <c r="K995" s="909"/>
      <c r="L995" s="820"/>
      <c r="M995" s="821"/>
      <c r="N995" s="801"/>
      <c r="O995" s="822"/>
      <c r="P995" s="822"/>
      <c r="Q995" s="822"/>
      <c r="R995" s="822"/>
      <c r="S995" s="822"/>
      <c r="T995" s="822"/>
      <c r="U995" s="822"/>
      <c r="V995" s="822"/>
      <c r="W995" s="822"/>
      <c r="X995" s="822"/>
      <c r="Y995" s="823"/>
      <c r="Z995" s="823"/>
      <c r="AA995" s="823"/>
    </row>
    <row r="996" spans="1:27" x14ac:dyDescent="0.25">
      <c r="A996" s="1035">
        <v>988</v>
      </c>
      <c r="B996" s="1035" t="s">
        <v>60</v>
      </c>
      <c r="C996" s="1035" t="s">
        <v>194</v>
      </c>
      <c r="D996" s="1112" t="s">
        <v>349</v>
      </c>
      <c r="E996" s="1113">
        <f>Inn08_credits</f>
        <v>1</v>
      </c>
      <c r="F996" s="1114"/>
      <c r="G996" s="1115" t="s">
        <v>350</v>
      </c>
      <c r="H996" s="1116" t="s">
        <v>15</v>
      </c>
      <c r="I996" s="908"/>
      <c r="J996" s="908"/>
      <c r="K996" s="909"/>
      <c r="L996" s="820"/>
      <c r="M996" s="821"/>
      <c r="N996" s="801"/>
      <c r="O996" s="822"/>
      <c r="P996" s="822"/>
      <c r="Q996" s="822"/>
      <c r="R996" s="822"/>
      <c r="S996" s="822"/>
      <c r="T996" s="822"/>
      <c r="U996" s="822"/>
      <c r="V996" s="822"/>
      <c r="W996" s="822"/>
      <c r="X996" s="822"/>
      <c r="Y996" s="823"/>
      <c r="Z996" s="823"/>
      <c r="AA996" s="823"/>
    </row>
    <row r="997" spans="1:27" x14ac:dyDescent="0.25">
      <c r="A997" s="1035">
        <v>989</v>
      </c>
      <c r="B997" s="1035" t="s">
        <v>60</v>
      </c>
      <c r="C997" s="1035" t="s">
        <v>194</v>
      </c>
      <c r="I997" s="908"/>
      <c r="J997" s="908"/>
      <c r="K997" s="909"/>
      <c r="L997" s="820"/>
      <c r="M997" s="821"/>
      <c r="N997" s="801"/>
      <c r="O997" s="822"/>
      <c r="P997" s="822"/>
      <c r="Q997" s="822"/>
      <c r="R997" s="822"/>
      <c r="S997" s="822"/>
      <c r="T997" s="822"/>
      <c r="U997" s="822"/>
      <c r="V997" s="822"/>
      <c r="W997" s="822"/>
      <c r="X997" s="822"/>
      <c r="Y997" s="823"/>
      <c r="Z997" s="823"/>
      <c r="AA997" s="823"/>
    </row>
    <row r="998" spans="1:27" ht="15.75" thickBot="1" x14ac:dyDescent="0.3">
      <c r="A998" s="1035">
        <v>990</v>
      </c>
      <c r="B998" s="1035" t="s">
        <v>60</v>
      </c>
      <c r="C998" s="1035" t="s">
        <v>194</v>
      </c>
      <c r="D998" s="1117" t="s">
        <v>351</v>
      </c>
      <c r="E998" s="1118" t="s">
        <v>465</v>
      </c>
      <c r="H998" s="1118" t="s">
        <v>355</v>
      </c>
      <c r="I998" s="908"/>
      <c r="J998" s="908"/>
      <c r="K998" s="909"/>
      <c r="L998" s="820"/>
      <c r="M998" s="821"/>
      <c r="N998" s="801"/>
      <c r="O998" s="822"/>
      <c r="P998" s="822"/>
      <c r="Q998" s="822"/>
      <c r="R998" s="822"/>
      <c r="S998" s="822"/>
      <c r="T998" s="822"/>
      <c r="U998" s="822"/>
      <c r="V998" s="822"/>
      <c r="W998" s="822"/>
      <c r="X998" s="822"/>
      <c r="Y998" s="823"/>
      <c r="Z998" s="823"/>
      <c r="AA998" s="823"/>
    </row>
    <row r="999" spans="1:27" ht="15.75" thickBot="1" x14ac:dyDescent="0.3">
      <c r="A999" s="1035">
        <v>991</v>
      </c>
      <c r="B999" s="1035" t="s">
        <v>60</v>
      </c>
      <c r="C999" s="1035" t="s">
        <v>194</v>
      </c>
      <c r="D999" s="1142" t="s">
        <v>1075</v>
      </c>
      <c r="E999" s="1171" t="s">
        <v>545</v>
      </c>
      <c r="F999" s="1145" t="s">
        <v>865</v>
      </c>
      <c r="H999" s="1327" t="s">
        <v>16</v>
      </c>
      <c r="I999" s="908"/>
      <c r="J999" s="908"/>
      <c r="K999" s="909"/>
      <c r="L999" s="820"/>
      <c r="M999" s="821"/>
      <c r="N999" s="801"/>
      <c r="O999" s="102" t="s">
        <v>1273</v>
      </c>
      <c r="P999" s="822"/>
      <c r="Q999" s="822"/>
      <c r="R999" s="822"/>
      <c r="S999" s="822"/>
      <c r="T999" s="822"/>
      <c r="U999" s="822" t="str">
        <f>$T$4</f>
        <v>No</v>
      </c>
      <c r="V999" s="822"/>
      <c r="W999" s="822"/>
      <c r="X999" s="822"/>
      <c r="Y999" s="823"/>
      <c r="Z999" s="823"/>
      <c r="AA999" s="823"/>
    </row>
    <row r="1000" spans="1:27" x14ac:dyDescent="0.25">
      <c r="A1000" s="1035">
        <v>992</v>
      </c>
      <c r="B1000" s="1035" t="s">
        <v>60</v>
      </c>
      <c r="C1000" s="1035" t="s">
        <v>194</v>
      </c>
      <c r="E1000" s="1144"/>
      <c r="I1000" s="908"/>
      <c r="J1000" s="908"/>
      <c r="K1000" s="909"/>
      <c r="L1000" s="820"/>
      <c r="M1000" s="821"/>
      <c r="N1000" s="801"/>
      <c r="O1000" s="822"/>
      <c r="P1000" s="822"/>
      <c r="Q1000" s="822"/>
      <c r="R1000" s="822"/>
      <c r="S1000" s="822"/>
      <c r="T1000" s="822"/>
      <c r="U1000" s="822"/>
      <c r="V1000" s="822"/>
      <c r="W1000" s="822"/>
      <c r="X1000" s="822"/>
      <c r="Y1000" s="823"/>
      <c r="Z1000" s="823"/>
      <c r="AA1000" s="823"/>
    </row>
    <row r="1001" spans="1:27" x14ac:dyDescent="0.25">
      <c r="A1001" s="1035">
        <v>993</v>
      </c>
      <c r="B1001" s="1035" t="s">
        <v>60</v>
      </c>
      <c r="C1001" s="1035" t="s">
        <v>194</v>
      </c>
      <c r="D1001" s="1127" t="s">
        <v>356</v>
      </c>
      <c r="E1001" s="1128">
        <f>IF(E999=Options!Q3,0,IF(E999&gt;0.24,1,0))</f>
        <v>0</v>
      </c>
      <c r="I1001" s="1029"/>
      <c r="J1001" s="908"/>
      <c r="K1001" s="909"/>
      <c r="L1001" s="820"/>
      <c r="M1001" s="821"/>
      <c r="N1001" s="801"/>
      <c r="O1001" s="822"/>
      <c r="P1001" s="822"/>
      <c r="Q1001" s="822"/>
      <c r="R1001" s="822"/>
      <c r="S1001" s="822"/>
      <c r="T1001" s="822"/>
      <c r="U1001" s="822"/>
      <c r="V1001" s="822"/>
      <c r="W1001" s="822"/>
      <c r="X1001" s="822"/>
      <c r="Y1001" s="823"/>
      <c r="Z1001" s="823"/>
      <c r="AA1001" s="823"/>
    </row>
    <row r="1002" spans="1:27" x14ac:dyDescent="0.25">
      <c r="A1002" s="1035">
        <v>994</v>
      </c>
      <c r="B1002" s="1035" t="s">
        <v>60</v>
      </c>
      <c r="C1002" s="1035" t="s">
        <v>194</v>
      </c>
      <c r="D1002" s="1129" t="s">
        <v>86</v>
      </c>
      <c r="E1002" s="1130">
        <f>Wst02_15</f>
        <v>0</v>
      </c>
      <c r="I1002" s="908"/>
      <c r="J1002" s="908"/>
      <c r="K1002" s="909"/>
      <c r="L1002" s="820"/>
      <c r="M1002" s="821"/>
      <c r="N1002" s="801"/>
      <c r="O1002" s="822"/>
      <c r="P1002" s="822"/>
      <c r="Q1002" s="822"/>
      <c r="R1002" s="822"/>
      <c r="S1002" s="822"/>
      <c r="T1002" s="822"/>
      <c r="U1002" s="822"/>
      <c r="V1002" s="822"/>
      <c r="W1002" s="822"/>
      <c r="X1002" s="822"/>
      <c r="Y1002" s="823"/>
      <c r="Z1002" s="823"/>
      <c r="AA1002" s="823"/>
    </row>
    <row r="1003" spans="1:27" x14ac:dyDescent="0.25">
      <c r="A1003" s="1035">
        <v>995</v>
      </c>
      <c r="B1003" s="1035" t="s">
        <v>60</v>
      </c>
      <c r="C1003" s="1035" t="s">
        <v>194</v>
      </c>
      <c r="D1003" s="1131" t="s">
        <v>357</v>
      </c>
      <c r="E1003" s="1128">
        <f>IF(E999=Options!Q3,0,IF(E999&gt;0.5,E996,0))</f>
        <v>0</v>
      </c>
      <c r="I1003" s="908"/>
      <c r="J1003" s="908"/>
      <c r="K1003" s="909"/>
      <c r="L1003" s="820"/>
      <c r="M1003" s="821"/>
      <c r="N1003" s="801"/>
      <c r="O1003" s="822"/>
      <c r="P1003" s="822"/>
      <c r="Q1003" s="822"/>
      <c r="R1003" s="822"/>
      <c r="S1003" s="822"/>
      <c r="T1003" s="822"/>
      <c r="U1003" s="822"/>
      <c r="V1003" s="822"/>
      <c r="W1003" s="822"/>
      <c r="X1003" s="822"/>
      <c r="Y1003" s="823"/>
      <c r="Z1003" s="823"/>
      <c r="AA1003" s="823"/>
    </row>
    <row r="1004" spans="1:27" x14ac:dyDescent="0.25">
      <c r="A1004" s="1035">
        <v>996</v>
      </c>
      <c r="B1004" s="1035" t="s">
        <v>60</v>
      </c>
      <c r="C1004" s="1035" t="s">
        <v>194</v>
      </c>
      <c r="D1004" s="1132" t="s">
        <v>55</v>
      </c>
      <c r="E1004" s="1133" t="s">
        <v>16</v>
      </c>
      <c r="F1004" s="1134"/>
      <c r="G1004" s="1135"/>
      <c r="I1004" s="908"/>
      <c r="J1004" s="908"/>
      <c r="K1004" s="909"/>
      <c r="L1004" s="820"/>
      <c r="M1004" s="821"/>
      <c r="N1004" s="801"/>
      <c r="O1004" s="822"/>
      <c r="P1004" s="822"/>
      <c r="Q1004" s="822"/>
      <c r="R1004" s="822"/>
      <c r="S1004" s="822"/>
      <c r="T1004" s="822"/>
      <c r="U1004" s="822"/>
      <c r="V1004" s="822"/>
      <c r="W1004" s="822"/>
      <c r="X1004" s="822"/>
      <c r="Y1004" s="823"/>
      <c r="Z1004" s="823"/>
      <c r="AA1004" s="823"/>
    </row>
    <row r="1005" spans="1:27" x14ac:dyDescent="0.25">
      <c r="A1005" s="1035">
        <v>997</v>
      </c>
      <c r="B1005" s="1035" t="s">
        <v>60</v>
      </c>
      <c r="C1005" s="1035" t="s">
        <v>194</v>
      </c>
      <c r="I1005" s="908"/>
      <c r="J1005" s="908"/>
      <c r="K1005" s="909"/>
      <c r="L1005" s="820"/>
      <c r="M1005" s="821"/>
      <c r="N1005" s="801"/>
      <c r="O1005" s="822"/>
      <c r="P1005" s="822"/>
      <c r="Q1005" s="822"/>
      <c r="R1005" s="822"/>
      <c r="S1005" s="822"/>
      <c r="T1005" s="822"/>
      <c r="U1005" s="822"/>
      <c r="V1005" s="822"/>
      <c r="W1005" s="822"/>
      <c r="X1005" s="822"/>
      <c r="Y1005" s="823"/>
      <c r="Z1005" s="823"/>
      <c r="AA1005" s="823"/>
    </row>
    <row r="1006" spans="1:27" x14ac:dyDescent="0.25">
      <c r="A1006" s="1035">
        <v>998</v>
      </c>
      <c r="B1006" s="1035" t="s">
        <v>60</v>
      </c>
      <c r="C1006" s="1035" t="s">
        <v>194</v>
      </c>
      <c r="D1006" s="1136" t="s">
        <v>359</v>
      </c>
      <c r="E1006" s="1137"/>
      <c r="F1006" s="1137"/>
      <c r="G1006" s="1137"/>
      <c r="H1006" s="1138"/>
      <c r="I1006" s="908"/>
      <c r="J1006" s="908"/>
      <c r="K1006" s="909"/>
      <c r="L1006" s="820"/>
      <c r="M1006" s="821"/>
      <c r="N1006" s="801"/>
      <c r="O1006" s="822"/>
      <c r="P1006" s="822"/>
      <c r="Q1006" s="822"/>
      <c r="R1006" s="822"/>
      <c r="S1006" s="822"/>
      <c r="T1006" s="822"/>
      <c r="U1006" s="822"/>
      <c r="V1006" s="822"/>
      <c r="W1006" s="822"/>
      <c r="X1006" s="822"/>
      <c r="Y1006" s="823"/>
      <c r="Z1006" s="823"/>
      <c r="AA1006" s="823"/>
    </row>
    <row r="1007" spans="1:27" x14ac:dyDescent="0.25">
      <c r="A1007" s="1035">
        <v>999</v>
      </c>
      <c r="B1007" s="1035" t="s">
        <v>60</v>
      </c>
      <c r="C1007" s="1035" t="s">
        <v>194</v>
      </c>
      <c r="D1007" s="1363"/>
      <c r="E1007" s="1352"/>
      <c r="F1007" s="1352"/>
      <c r="G1007" s="1352"/>
      <c r="H1007" s="1353"/>
      <c r="I1007" s="908"/>
      <c r="J1007" s="908"/>
      <c r="K1007" s="909"/>
      <c r="L1007" s="820"/>
      <c r="M1007" s="821"/>
      <c r="N1007" s="801"/>
      <c r="O1007" s="822"/>
      <c r="P1007" s="822"/>
      <c r="Q1007" s="822"/>
      <c r="R1007" s="822"/>
      <c r="S1007" s="822"/>
      <c r="T1007" s="822"/>
      <c r="U1007" s="822"/>
      <c r="V1007" s="822"/>
      <c r="W1007" s="822"/>
      <c r="X1007" s="822"/>
      <c r="Y1007" s="823"/>
      <c r="Z1007" s="823"/>
      <c r="AA1007" s="823"/>
    </row>
    <row r="1008" spans="1:27" x14ac:dyDescent="0.25">
      <c r="A1008" s="1035">
        <v>1000</v>
      </c>
      <c r="B1008" s="1035" t="s">
        <v>60</v>
      </c>
      <c r="C1008" s="1035" t="s">
        <v>194</v>
      </c>
      <c r="D1008" s="1354"/>
      <c r="E1008" s="1355"/>
      <c r="F1008" s="1355"/>
      <c r="G1008" s="1355"/>
      <c r="H1008" s="1356"/>
      <c r="I1008" s="908"/>
      <c r="J1008" s="908"/>
      <c r="K1008" s="909"/>
      <c r="L1008" s="820"/>
      <c r="M1008" s="821"/>
      <c r="N1008" s="801"/>
      <c r="O1008" s="822"/>
      <c r="P1008" s="822"/>
      <c r="Q1008" s="822"/>
      <c r="R1008" s="822"/>
      <c r="S1008" s="822"/>
      <c r="T1008" s="822"/>
      <c r="U1008" s="822"/>
      <c r="V1008" s="822"/>
      <c r="W1008" s="822"/>
      <c r="X1008" s="822"/>
      <c r="Y1008" s="823"/>
      <c r="Z1008" s="823"/>
      <c r="AA1008" s="823"/>
    </row>
    <row r="1009" spans="1:27" x14ac:dyDescent="0.25">
      <c r="A1009" s="1035">
        <v>1001</v>
      </c>
      <c r="B1009" s="1035" t="s">
        <v>60</v>
      </c>
      <c r="C1009" s="1035" t="s">
        <v>194</v>
      </c>
      <c r="D1009" s="1354"/>
      <c r="E1009" s="1355"/>
      <c r="F1009" s="1355"/>
      <c r="G1009" s="1355"/>
      <c r="H1009" s="1356"/>
      <c r="I1009" s="908"/>
      <c r="J1009" s="908"/>
      <c r="K1009" s="909"/>
      <c r="L1009" s="820"/>
      <c r="M1009" s="821"/>
      <c r="N1009" s="801"/>
      <c r="O1009" s="822"/>
      <c r="P1009" s="822"/>
      <c r="Q1009" s="822"/>
      <c r="R1009" s="822"/>
      <c r="S1009" s="822"/>
      <c r="T1009" s="822"/>
      <c r="U1009" s="822"/>
      <c r="V1009" s="822"/>
      <c r="W1009" s="822"/>
      <c r="X1009" s="822"/>
      <c r="Y1009" s="823"/>
      <c r="Z1009" s="823"/>
      <c r="AA1009" s="823"/>
    </row>
    <row r="1010" spans="1:27" x14ac:dyDescent="0.25">
      <c r="A1010" s="1035">
        <v>1002</v>
      </c>
      <c r="B1010" s="1035" t="s">
        <v>60</v>
      </c>
      <c r="C1010" s="1035" t="s">
        <v>194</v>
      </c>
      <c r="D1010" s="1364"/>
      <c r="E1010" s="1358"/>
      <c r="F1010" s="1358"/>
      <c r="G1010" s="1358"/>
      <c r="H1010" s="1359"/>
      <c r="I1010" s="908"/>
      <c r="J1010" s="908"/>
      <c r="K1010" s="909"/>
      <c r="L1010" s="820"/>
      <c r="M1010" s="821"/>
      <c r="N1010" s="801"/>
      <c r="O1010" s="822"/>
      <c r="P1010" s="822"/>
      <c r="Q1010" s="822"/>
      <c r="R1010" s="822"/>
      <c r="S1010" s="822"/>
      <c r="T1010" s="822"/>
      <c r="U1010" s="822"/>
      <c r="V1010" s="822"/>
      <c r="W1010" s="822"/>
      <c r="X1010" s="822"/>
      <c r="Y1010" s="823"/>
      <c r="Z1010" s="823"/>
      <c r="AA1010" s="823"/>
    </row>
    <row r="1011" spans="1:27" x14ac:dyDescent="0.25">
      <c r="A1011" s="1035">
        <v>1003</v>
      </c>
      <c r="B1011" s="1035" t="s">
        <v>60</v>
      </c>
      <c r="C1011" s="1035" t="s">
        <v>194</v>
      </c>
      <c r="D1011" s="1364"/>
      <c r="E1011" s="1358"/>
      <c r="F1011" s="1358"/>
      <c r="G1011" s="1358"/>
      <c r="H1011" s="1359"/>
      <c r="I1011" s="908"/>
      <c r="J1011" s="908"/>
      <c r="K1011" s="909"/>
      <c r="L1011" s="820"/>
      <c r="M1011" s="821"/>
      <c r="N1011" s="801"/>
      <c r="O1011" s="822"/>
      <c r="P1011" s="822"/>
      <c r="Q1011" s="822"/>
      <c r="R1011" s="822"/>
      <c r="S1011" s="822"/>
      <c r="T1011" s="822"/>
      <c r="U1011" s="822"/>
      <c r="V1011" s="822"/>
      <c r="W1011" s="822"/>
      <c r="X1011" s="822"/>
      <c r="Y1011" s="823"/>
      <c r="Z1011" s="823"/>
      <c r="AA1011" s="823"/>
    </row>
    <row r="1012" spans="1:27" x14ac:dyDescent="0.25">
      <c r="A1012" s="1035">
        <v>1004</v>
      </c>
      <c r="B1012" s="1035" t="s">
        <v>60</v>
      </c>
      <c r="C1012" s="1035" t="s">
        <v>194</v>
      </c>
      <c r="D1012" s="1360"/>
      <c r="E1012" s="1361"/>
      <c r="F1012" s="1361"/>
      <c r="G1012" s="1361"/>
      <c r="H1012" s="1362"/>
      <c r="I1012" s="908"/>
      <c r="J1012" s="908"/>
      <c r="K1012" s="909"/>
      <c r="L1012" s="820"/>
      <c r="M1012" s="821"/>
      <c r="N1012" s="801"/>
      <c r="O1012" s="822"/>
      <c r="P1012" s="822"/>
      <c r="Q1012" s="822"/>
      <c r="R1012" s="822"/>
      <c r="S1012" s="822"/>
      <c r="T1012" s="822"/>
      <c r="U1012" s="822"/>
      <c r="V1012" s="822"/>
      <c r="W1012" s="822"/>
      <c r="X1012" s="822"/>
      <c r="Y1012" s="823"/>
      <c r="Z1012" s="823"/>
      <c r="AA1012" s="823"/>
    </row>
    <row r="1013" spans="1:27" ht="15.75" thickBot="1" x14ac:dyDescent="0.3">
      <c r="A1013" s="1035">
        <v>1005</v>
      </c>
      <c r="B1013" s="1035" t="s">
        <v>60</v>
      </c>
      <c r="C1013" s="1035" t="s">
        <v>194</v>
      </c>
      <c r="D1013" s="1196"/>
      <c r="E1013" s="1197"/>
      <c r="F1013" s="1197"/>
      <c r="G1013" s="1197"/>
      <c r="H1013" s="1197"/>
      <c r="I1013" s="908"/>
      <c r="J1013" s="908"/>
      <c r="K1013" s="909"/>
      <c r="L1013" s="820"/>
      <c r="M1013" s="821"/>
      <c r="N1013" s="801"/>
      <c r="O1013" s="822"/>
      <c r="P1013" s="822"/>
      <c r="Q1013" s="822"/>
      <c r="R1013" s="822"/>
      <c r="S1013" s="822"/>
      <c r="T1013" s="822"/>
      <c r="U1013" s="822"/>
      <c r="V1013" s="822"/>
      <c r="W1013" s="822"/>
      <c r="X1013" s="822"/>
      <c r="Y1013" s="823"/>
      <c r="Z1013" s="823"/>
      <c r="AA1013" s="823"/>
    </row>
    <row r="1014" spans="1:27" ht="15.75" thickBot="1" x14ac:dyDescent="0.3">
      <c r="A1014" s="1037">
        <v>1006</v>
      </c>
      <c r="B1014" s="1037" t="s">
        <v>60</v>
      </c>
      <c r="C1014" s="827" t="s">
        <v>195</v>
      </c>
      <c r="D1014" s="1103" t="s">
        <v>918</v>
      </c>
      <c r="E1014" s="1104"/>
      <c r="F1014" s="1104"/>
      <c r="G1014" s="1105"/>
      <c r="H1014" s="1105"/>
      <c r="I1014" s="908"/>
      <c r="J1014" s="908"/>
      <c r="K1014" s="909"/>
      <c r="L1014" s="804" t="str">
        <f>C1014</f>
        <v>Wst 03</v>
      </c>
      <c r="M1014" s="821"/>
      <c r="N1014" s="801"/>
      <c r="O1014" s="822"/>
      <c r="P1014" s="822"/>
      <c r="Q1014" s="822"/>
      <c r="R1014" s="822"/>
      <c r="S1014" s="822"/>
      <c r="T1014" s="822"/>
      <c r="U1014" s="822"/>
      <c r="V1014" s="822"/>
      <c r="W1014" s="822"/>
      <c r="X1014" s="822"/>
      <c r="Y1014" s="823"/>
      <c r="Z1014" s="823"/>
      <c r="AA1014" s="823"/>
    </row>
    <row r="1015" spans="1:27" ht="15.75" thickBot="1" x14ac:dyDescent="0.3">
      <c r="A1015" s="1035">
        <v>1007</v>
      </c>
      <c r="B1015" s="1035" t="s">
        <v>60</v>
      </c>
      <c r="C1015" s="1035" t="s">
        <v>195</v>
      </c>
      <c r="D1015" s="1107" t="s">
        <v>17</v>
      </c>
      <c r="E1015" s="1108">
        <f>Wst03_credits</f>
        <v>1</v>
      </c>
      <c r="F1015" s="1109"/>
      <c r="G1015" s="1110" t="s">
        <v>85</v>
      </c>
      <c r="H1015" s="1111">
        <f>Wst03_12</f>
        <v>1.2499999999999999E-2</v>
      </c>
      <c r="I1015" s="908"/>
      <c r="J1015" s="908"/>
      <c r="K1015" s="909"/>
      <c r="L1015" s="843" t="s">
        <v>11</v>
      </c>
      <c r="M1015" s="821"/>
      <c r="N1015" s="801"/>
      <c r="O1015" s="1281" t="s">
        <v>1276</v>
      </c>
      <c r="P1015" s="822"/>
      <c r="Q1015" s="822"/>
      <c r="R1015" s="822"/>
      <c r="S1015" s="822"/>
      <c r="T1015" s="822"/>
      <c r="U1015" s="822"/>
      <c r="V1015" s="822"/>
      <c r="W1015" s="822"/>
      <c r="X1015" s="822"/>
      <c r="Y1015" s="823"/>
      <c r="Z1015" s="823"/>
      <c r="AA1015" s="823"/>
    </row>
    <row r="1016" spans="1:27" ht="15.75" thickBot="1" x14ac:dyDescent="0.3">
      <c r="A1016" s="1035">
        <v>1008</v>
      </c>
      <c r="B1016" s="1035" t="s">
        <v>60</v>
      </c>
      <c r="C1016" s="1035" t="s">
        <v>195</v>
      </c>
      <c r="D1016" s="1112" t="s">
        <v>349</v>
      </c>
      <c r="E1016" s="1113">
        <v>0</v>
      </c>
      <c r="F1016" s="1114"/>
      <c r="G1016" s="1115" t="s">
        <v>350</v>
      </c>
      <c r="H1016" s="1116" t="s">
        <v>14</v>
      </c>
      <c r="I1016" s="908"/>
      <c r="J1016" s="908"/>
      <c r="K1016" s="909"/>
      <c r="L1016" s="843">
        <f>IF(AND('Assessment Issue Scoring'!E1019=AIS_Yes,E1020=AIS_Yes,OR('Assessment Issue Scoring'!E1021=AIS_Yes,'Assessment Issue Scoring'!E1021=AIS_NA),OR('Assessment Issue Scoring'!E1022=AIS_Yes,'Assessment Issue Scoring'!E1022=AIS_NA)),1,0)</f>
        <v>0</v>
      </c>
      <c r="M1016" s="821"/>
      <c r="N1016" s="801"/>
      <c r="O1016" s="822"/>
      <c r="P1016" s="822"/>
      <c r="Q1016" s="822"/>
      <c r="R1016" s="822"/>
      <c r="S1016" s="822"/>
      <c r="T1016" s="822"/>
      <c r="U1016" s="822"/>
      <c r="V1016" s="822"/>
      <c r="W1016" s="822"/>
      <c r="X1016" s="822"/>
      <c r="Y1016" s="823"/>
      <c r="Z1016" s="823"/>
      <c r="AA1016" s="823"/>
    </row>
    <row r="1017" spans="1:27" x14ac:dyDescent="0.25">
      <c r="A1017" s="1035">
        <v>1009</v>
      </c>
      <c r="B1017" s="1035" t="s">
        <v>60</v>
      </c>
      <c r="C1017" s="1035" t="s">
        <v>195</v>
      </c>
      <c r="I1017" s="908"/>
      <c r="J1017" s="908"/>
      <c r="K1017" s="909"/>
      <c r="L1017" s="889"/>
      <c r="M1017" s="821"/>
      <c r="N1017" s="801"/>
      <c r="O1017" s="822"/>
      <c r="P1017" s="822"/>
      <c r="Q1017" s="822"/>
      <c r="R1017" s="822"/>
      <c r="S1017" s="822"/>
      <c r="T1017" s="822"/>
      <c r="U1017" s="822"/>
      <c r="V1017" s="822"/>
      <c r="W1017" s="822"/>
      <c r="X1017" s="822"/>
      <c r="Y1017" s="823"/>
      <c r="Z1017" s="823"/>
      <c r="AA1017" s="823"/>
    </row>
    <row r="1018" spans="1:27" ht="15.75" thickBot="1" x14ac:dyDescent="0.3">
      <c r="A1018" s="1035">
        <v>1010</v>
      </c>
      <c r="B1018" s="1035" t="s">
        <v>60</v>
      </c>
      <c r="C1018" s="1035" t="s">
        <v>195</v>
      </c>
      <c r="D1018" s="1117" t="s">
        <v>466</v>
      </c>
      <c r="E1018" s="1118" t="s">
        <v>352</v>
      </c>
      <c r="F1018" s="1118" t="s">
        <v>353</v>
      </c>
      <c r="G1018" s="1118" t="s">
        <v>354</v>
      </c>
      <c r="H1018" s="1118" t="s">
        <v>355</v>
      </c>
      <c r="I1018" s="908"/>
      <c r="J1018" s="908"/>
      <c r="K1018" s="909"/>
      <c r="L1018" s="820"/>
      <c r="M1018" s="821"/>
      <c r="N1018" s="801"/>
      <c r="O1018" s="822"/>
      <c r="P1018" s="822"/>
      <c r="Q1018" s="822"/>
      <c r="R1018" s="822"/>
      <c r="S1018" s="822"/>
      <c r="T1018" s="822"/>
      <c r="U1018" s="822"/>
      <c r="V1018" s="822"/>
      <c r="W1018" s="822"/>
      <c r="X1018" s="822"/>
      <c r="Y1018" s="823"/>
      <c r="Z1018" s="823"/>
      <c r="AA1018" s="823"/>
    </row>
    <row r="1019" spans="1:27" ht="15.75" thickBot="1" x14ac:dyDescent="0.3">
      <c r="A1019" s="1035">
        <v>1011</v>
      </c>
      <c r="B1019" s="1035" t="s">
        <v>60</v>
      </c>
      <c r="C1019" s="1035" t="s">
        <v>195</v>
      </c>
      <c r="D1019" s="1119" t="s">
        <v>1076</v>
      </c>
      <c r="E1019" s="1093" t="s">
        <v>360</v>
      </c>
      <c r="F1019" s="1143">
        <v>1</v>
      </c>
      <c r="G1019" s="1143">
        <f>L1016</f>
        <v>0</v>
      </c>
      <c r="H1019" s="1327" t="s">
        <v>16</v>
      </c>
      <c r="I1019" s="908"/>
      <c r="J1019" s="908"/>
      <c r="K1019" s="909"/>
      <c r="L1019" s="820"/>
      <c r="M1019" s="821"/>
      <c r="N1019" s="801"/>
      <c r="O1019" s="102" t="s">
        <v>1273</v>
      </c>
      <c r="P1019" s="822"/>
      <c r="Q1019" s="822"/>
      <c r="R1019" s="822"/>
      <c r="S1019" s="822"/>
      <c r="T1019" s="822"/>
      <c r="U1019" s="822" t="str">
        <f>$T$4</f>
        <v>No</v>
      </c>
      <c r="V1019" s="822"/>
      <c r="W1019" s="822"/>
      <c r="X1019" s="822"/>
      <c r="Y1019" s="823"/>
      <c r="Z1019" s="823"/>
      <c r="AA1019" s="823"/>
    </row>
    <row r="1020" spans="1:27" x14ac:dyDescent="0.25">
      <c r="A1020" s="1035">
        <v>1012</v>
      </c>
      <c r="B1020" s="1035"/>
      <c r="C1020" s="1035"/>
      <c r="D1020" s="1121" t="s">
        <v>1077</v>
      </c>
      <c r="E1020" s="1091" t="s">
        <v>360</v>
      </c>
      <c r="I1020" s="908"/>
      <c r="J1020" s="908"/>
      <c r="K1020" s="909"/>
      <c r="L1020" s="820"/>
      <c r="M1020" s="821"/>
      <c r="N1020" s="801"/>
      <c r="O1020" s="822"/>
      <c r="P1020" s="822"/>
      <c r="Q1020" s="822"/>
      <c r="R1020" s="822"/>
      <c r="S1020" s="822"/>
      <c r="T1020" s="822"/>
      <c r="U1020" s="822"/>
      <c r="V1020" s="822"/>
      <c r="W1020" s="822"/>
      <c r="X1020" s="822"/>
      <c r="Y1020" s="823"/>
      <c r="Z1020" s="823"/>
      <c r="AA1020" s="823"/>
    </row>
    <row r="1021" spans="1:27" x14ac:dyDescent="0.25">
      <c r="A1021" s="1035">
        <v>1013</v>
      </c>
      <c r="B1021" s="1035" t="s">
        <v>60</v>
      </c>
      <c r="C1021" s="1035" t="s">
        <v>195</v>
      </c>
      <c r="D1021" s="1172" t="s">
        <v>467</v>
      </c>
      <c r="E1021" s="1173" t="s">
        <v>360</v>
      </c>
      <c r="F1021" s="1280" t="str">
        <f>IF(E1019=AIS_No,"",AIS_statement60)</f>
        <v>Instruction: if the specification of the additional operational waste facility/facilities is not applicable due to the absence or lack of a consistent volume of the appropriate waste stream(s) then select "N/A".</v>
      </c>
      <c r="I1021" s="844"/>
      <c r="J1021" s="908"/>
      <c r="K1021" s="909"/>
      <c r="L1021" s="820"/>
      <c r="M1021" s="821"/>
      <c r="N1021" s="801"/>
      <c r="O1021" s="822"/>
      <c r="P1021" s="822"/>
      <c r="Q1021" s="822"/>
      <c r="R1021" s="822"/>
      <c r="S1021" s="822"/>
      <c r="T1021" s="822"/>
      <c r="U1021" s="822"/>
      <c r="V1021" s="822"/>
      <c r="W1021" s="822"/>
      <c r="X1021" s="822"/>
      <c r="Y1021" s="823"/>
      <c r="Z1021" s="823"/>
      <c r="AA1021" s="823"/>
    </row>
    <row r="1022" spans="1:27" ht="15.75" thickBot="1" x14ac:dyDescent="0.3">
      <c r="A1022" s="1035">
        <v>1014</v>
      </c>
      <c r="B1022" s="1035" t="s">
        <v>60</v>
      </c>
      <c r="C1022" s="1035" t="s">
        <v>195</v>
      </c>
      <c r="D1022" s="1123" t="s">
        <v>468</v>
      </c>
      <c r="E1022" s="1092" t="s">
        <v>360</v>
      </c>
      <c r="I1022" s="908"/>
      <c r="J1022" s="908"/>
      <c r="K1022" s="909"/>
      <c r="L1022" s="894"/>
      <c r="M1022" s="821"/>
      <c r="N1022" s="801"/>
      <c r="O1022" s="822"/>
      <c r="P1022" s="822"/>
      <c r="Q1022" s="822"/>
      <c r="R1022" s="822"/>
      <c r="S1022" s="822"/>
      <c r="T1022" s="822"/>
      <c r="U1022" s="822"/>
      <c r="V1022" s="822"/>
      <c r="W1022" s="822"/>
      <c r="X1022" s="822"/>
      <c r="Y1022" s="823"/>
      <c r="Z1022" s="823"/>
      <c r="AA1022" s="823"/>
    </row>
    <row r="1023" spans="1:27" ht="15.75" thickBot="1" x14ac:dyDescent="0.3">
      <c r="A1023" s="1035">
        <v>1015</v>
      </c>
      <c r="B1023" s="1035" t="s">
        <v>60</v>
      </c>
      <c r="C1023" s="1035" t="s">
        <v>195</v>
      </c>
      <c r="I1023" s="908"/>
      <c r="J1023" s="908"/>
      <c r="K1023" s="909"/>
      <c r="L1023" s="853">
        <f>G1025+G1026</f>
        <v>0</v>
      </c>
      <c r="M1023" s="821"/>
      <c r="N1023" s="801"/>
      <c r="O1023" s="822"/>
      <c r="P1023" s="822"/>
      <c r="Q1023" s="822"/>
      <c r="R1023" s="822"/>
      <c r="S1023" s="822"/>
      <c r="T1023" s="822"/>
      <c r="U1023" s="822"/>
      <c r="V1023" s="822"/>
      <c r="W1023" s="822"/>
      <c r="X1023" s="822"/>
      <c r="Y1023" s="823"/>
      <c r="Z1023" s="823"/>
      <c r="AA1023" s="823"/>
    </row>
    <row r="1024" spans="1:27" ht="15.75" thickBot="1" x14ac:dyDescent="0.3">
      <c r="A1024" s="1035">
        <v>1016</v>
      </c>
      <c r="B1024" s="1035" t="s">
        <v>60</v>
      </c>
      <c r="C1024" s="1035" t="s">
        <v>195</v>
      </c>
      <c r="D1024" s="1117" t="s">
        <v>469</v>
      </c>
      <c r="E1024" s="1118" t="s">
        <v>352</v>
      </c>
      <c r="F1024" s="1118" t="s">
        <v>353</v>
      </c>
      <c r="G1024" s="1118" t="s">
        <v>354</v>
      </c>
      <c r="I1024" s="908"/>
      <c r="J1024" s="908"/>
      <c r="K1024" s="909"/>
      <c r="L1024" s="889"/>
      <c r="M1024" s="821"/>
      <c r="N1024" s="801"/>
      <c r="O1024" s="822"/>
      <c r="P1024" s="822"/>
      <c r="Q1024" s="822"/>
      <c r="R1024" s="822"/>
      <c r="S1024" s="822"/>
      <c r="T1024" s="822"/>
      <c r="U1024" s="822"/>
      <c r="V1024" s="822"/>
      <c r="W1024" s="822"/>
      <c r="X1024" s="822"/>
      <c r="Y1024" s="823"/>
      <c r="Z1024" s="823"/>
      <c r="AA1024" s="823"/>
    </row>
    <row r="1025" spans="1:27" x14ac:dyDescent="0.25">
      <c r="A1025" s="1035">
        <v>1017</v>
      </c>
      <c r="B1025" s="1035" t="s">
        <v>60</v>
      </c>
      <c r="C1025" s="1035" t="s">
        <v>195</v>
      </c>
      <c r="D1025" s="1119" t="s">
        <v>470</v>
      </c>
      <c r="E1025" s="1093" t="s">
        <v>360</v>
      </c>
      <c r="F1025" s="1120">
        <v>1</v>
      </c>
      <c r="G1025" s="1120">
        <f>IF(E1025=AIS_Yes,F1025,0)</f>
        <v>0</v>
      </c>
      <c r="I1025" s="908"/>
      <c r="J1025" s="908"/>
      <c r="K1025" s="909"/>
      <c r="L1025" s="1075" t="s">
        <v>1235</v>
      </c>
      <c r="M1025" s="821"/>
      <c r="N1025" s="801"/>
      <c r="O1025" s="822"/>
      <c r="P1025" s="822"/>
      <c r="Q1025" s="822"/>
      <c r="R1025" s="822"/>
      <c r="S1025" s="822"/>
      <c r="T1025" s="822"/>
      <c r="U1025" s="822"/>
      <c r="V1025" s="822"/>
      <c r="W1025" s="822"/>
      <c r="X1025" s="822"/>
      <c r="Y1025" s="823"/>
      <c r="Z1025" s="823"/>
      <c r="AA1025" s="823"/>
    </row>
    <row r="1026" spans="1:27" ht="15.75" thickBot="1" x14ac:dyDescent="0.3">
      <c r="A1026" s="1035">
        <v>1018</v>
      </c>
      <c r="B1026" s="1035" t="s">
        <v>60</v>
      </c>
      <c r="C1026" s="1035" t="s">
        <v>195</v>
      </c>
      <c r="D1026" s="1123" t="s">
        <v>471</v>
      </c>
      <c r="E1026" s="1092" t="s">
        <v>360</v>
      </c>
      <c r="F1026" s="1140">
        <v>1</v>
      </c>
      <c r="G1026" s="1124">
        <f>IF(E1026=AIS_Yes,F1026,0)</f>
        <v>0</v>
      </c>
      <c r="I1026" s="908"/>
      <c r="J1026" s="908"/>
      <c r="K1026" s="909"/>
      <c r="L1026" s="820">
        <f>IF(L1034=AIS_Yes,(IF(L1035=N1034,1,2)),Wst03_credits)</f>
        <v>1</v>
      </c>
      <c r="M1026" s="821"/>
      <c r="N1026" s="801"/>
      <c r="O1026" s="822"/>
      <c r="P1026" s="822"/>
      <c r="Q1026" s="822"/>
      <c r="R1026" s="822"/>
      <c r="S1026" s="822"/>
      <c r="T1026" s="822"/>
      <c r="U1026" s="822"/>
      <c r="V1026" s="822"/>
      <c r="W1026" s="822"/>
      <c r="X1026" s="822"/>
      <c r="Y1026" s="823"/>
      <c r="Z1026" s="823"/>
      <c r="AA1026" s="823"/>
    </row>
    <row r="1027" spans="1:27" x14ac:dyDescent="0.25">
      <c r="A1027" s="1035">
        <v>1019</v>
      </c>
      <c r="B1027" s="1035" t="s">
        <v>60</v>
      </c>
      <c r="C1027" s="1035" t="s">
        <v>195</v>
      </c>
      <c r="I1027" s="908"/>
      <c r="J1027" s="908"/>
      <c r="K1027" s="909"/>
      <c r="L1027" s="820"/>
      <c r="M1027" s="821"/>
      <c r="N1027" s="801"/>
      <c r="O1027" s="822"/>
      <c r="P1027" s="822"/>
      <c r="Q1027" s="822"/>
      <c r="R1027" s="822"/>
      <c r="S1027" s="822"/>
      <c r="T1027" s="822"/>
      <c r="U1027" s="822"/>
      <c r="V1027" s="822"/>
      <c r="W1027" s="822"/>
      <c r="X1027" s="822"/>
      <c r="Y1027" s="823"/>
      <c r="Z1027" s="823"/>
      <c r="AA1027" s="823"/>
    </row>
    <row r="1028" spans="1:27" x14ac:dyDescent="0.25">
      <c r="A1028" s="1035">
        <v>1020</v>
      </c>
      <c r="B1028" s="1035" t="s">
        <v>60</v>
      </c>
      <c r="C1028" s="1035" t="s">
        <v>195</v>
      </c>
      <c r="D1028" s="1127" t="s">
        <v>356</v>
      </c>
      <c r="E1028" s="1128">
        <f>IF(L1026=2,'Assessment Issue Scoring'!L1023,'Assessment Issue Scoring'!L1016)</f>
        <v>0</v>
      </c>
      <c r="I1028" s="1029"/>
      <c r="J1028" s="908"/>
      <c r="K1028" s="909"/>
      <c r="L1028" s="820"/>
      <c r="M1028" s="821"/>
      <c r="N1028" s="801"/>
      <c r="O1028" s="822"/>
      <c r="P1028" s="822"/>
      <c r="Q1028" s="822"/>
      <c r="R1028" s="822"/>
      <c r="S1028" s="822"/>
      <c r="T1028" s="822"/>
      <c r="U1028" s="822"/>
      <c r="V1028" s="822"/>
      <c r="W1028" s="822"/>
      <c r="X1028" s="822"/>
      <c r="Y1028" s="823"/>
      <c r="Z1028" s="823"/>
      <c r="AA1028" s="823"/>
    </row>
    <row r="1029" spans="1:27" x14ac:dyDescent="0.25">
      <c r="A1029" s="1035">
        <v>1021</v>
      </c>
      <c r="B1029" s="1035" t="s">
        <v>60</v>
      </c>
      <c r="C1029" s="1035" t="s">
        <v>195</v>
      </c>
      <c r="D1029" s="1129" t="s">
        <v>86</v>
      </c>
      <c r="E1029" s="1130">
        <f>Wst03_13</f>
        <v>0</v>
      </c>
      <c r="I1029" s="908"/>
      <c r="J1029" s="908"/>
      <c r="K1029" s="909"/>
      <c r="L1029" s="820"/>
      <c r="M1029" s="821"/>
      <c r="N1029" s="801"/>
      <c r="O1029" s="822"/>
      <c r="P1029" s="822"/>
      <c r="Q1029" s="822"/>
      <c r="R1029" s="822"/>
      <c r="S1029" s="822"/>
      <c r="T1029" s="822"/>
      <c r="U1029" s="822"/>
      <c r="V1029" s="822"/>
      <c r="W1029" s="822"/>
      <c r="X1029" s="822"/>
      <c r="Y1029" s="823"/>
      <c r="Z1029" s="823"/>
      <c r="AA1029" s="823"/>
    </row>
    <row r="1030" spans="1:27" x14ac:dyDescent="0.25">
      <c r="A1030" s="1035">
        <v>1022</v>
      </c>
      <c r="B1030" s="1035" t="s">
        <v>60</v>
      </c>
      <c r="C1030" s="1035" t="s">
        <v>195</v>
      </c>
      <c r="D1030" s="1131" t="s">
        <v>357</v>
      </c>
      <c r="E1030" s="1128" t="s">
        <v>16</v>
      </c>
      <c r="I1030" s="908"/>
      <c r="J1030" s="908"/>
      <c r="K1030" s="909"/>
      <c r="L1030" s="820"/>
      <c r="M1030" s="821"/>
      <c r="N1030" s="801"/>
      <c r="O1030" s="822"/>
      <c r="P1030" s="822"/>
      <c r="Q1030" s="822"/>
      <c r="R1030" s="822"/>
      <c r="S1030" s="822"/>
      <c r="T1030" s="822"/>
      <c r="U1030" s="822"/>
      <c r="V1030" s="822"/>
      <c r="W1030" s="822"/>
      <c r="X1030" s="822"/>
      <c r="Y1030" s="823"/>
      <c r="Z1030" s="823"/>
      <c r="AA1030" s="823"/>
    </row>
    <row r="1031" spans="1:27" x14ac:dyDescent="0.25">
      <c r="A1031" s="1035">
        <v>1023</v>
      </c>
      <c r="B1031" s="1035" t="s">
        <v>60</v>
      </c>
      <c r="C1031" s="1035" t="s">
        <v>195</v>
      </c>
      <c r="D1031" s="1132" t="s">
        <v>55</v>
      </c>
      <c r="E1031" s="1149" t="str">
        <f>Wst03_10</f>
        <v>Very Good</v>
      </c>
      <c r="F1031" s="1134"/>
      <c r="G1031" s="1135"/>
      <c r="I1031" s="908"/>
      <c r="J1031" s="908"/>
      <c r="K1031" s="909"/>
      <c r="L1031" s="820"/>
      <c r="M1031" s="821"/>
      <c r="N1031" s="801"/>
      <c r="O1031" s="822"/>
      <c r="P1031" s="822"/>
      <c r="Q1031" s="822"/>
      <c r="R1031" s="822"/>
      <c r="S1031" s="822"/>
      <c r="T1031" s="822"/>
      <c r="U1031" s="822"/>
      <c r="V1031" s="822"/>
      <c r="W1031" s="822"/>
      <c r="X1031" s="822"/>
      <c r="Y1031" s="823"/>
      <c r="Z1031" s="823"/>
      <c r="AA1031" s="823"/>
    </row>
    <row r="1032" spans="1:27" x14ac:dyDescent="0.25">
      <c r="A1032" s="1035">
        <v>1024</v>
      </c>
      <c r="B1032" s="1035" t="s">
        <v>60</v>
      </c>
      <c r="C1032" s="1035" t="s">
        <v>195</v>
      </c>
      <c r="I1032" s="908"/>
      <c r="J1032" s="908"/>
      <c r="K1032" s="909"/>
      <c r="L1032" s="820"/>
      <c r="M1032" s="821"/>
      <c r="N1032" s="801"/>
      <c r="O1032" s="822"/>
      <c r="P1032" s="822"/>
      <c r="Q1032" s="822"/>
      <c r="R1032" s="822"/>
      <c r="S1032" s="822"/>
      <c r="T1032" s="822"/>
      <c r="U1032" s="822"/>
      <c r="V1032" s="822"/>
      <c r="W1032" s="822"/>
      <c r="X1032" s="822"/>
      <c r="Y1032" s="823"/>
      <c r="Z1032" s="823"/>
      <c r="AA1032" s="823"/>
    </row>
    <row r="1033" spans="1:27" x14ac:dyDescent="0.25">
      <c r="A1033" s="1035">
        <v>1025</v>
      </c>
      <c r="B1033" s="1035" t="s">
        <v>60</v>
      </c>
      <c r="C1033" s="1035" t="s">
        <v>195</v>
      </c>
      <c r="D1033" s="1136" t="s">
        <v>359</v>
      </c>
      <c r="E1033" s="1136" t="s">
        <v>977</v>
      </c>
      <c r="F1033" s="1136" t="str">
        <f>HLOOKUP(C1033,'Assessment References'!$H$512:$BG$513,2,FALSE)</f>
        <v/>
      </c>
      <c r="G1033" s="1137"/>
      <c r="H1033" s="1138"/>
      <c r="I1033" s="908"/>
      <c r="J1033" s="908"/>
      <c r="K1033" s="909"/>
      <c r="L1033" s="1075" t="s">
        <v>1167</v>
      </c>
      <c r="M1033" s="821"/>
      <c r="N1033" s="801"/>
      <c r="O1033" s="822"/>
      <c r="P1033" s="822"/>
      <c r="Q1033" s="822"/>
      <c r="R1033" s="822"/>
      <c r="S1033" s="822"/>
      <c r="T1033" s="822"/>
      <c r="U1033" s="822"/>
      <c r="V1033" s="822"/>
      <c r="W1033" s="822"/>
      <c r="X1033" s="822"/>
      <c r="Y1033" s="823"/>
      <c r="Z1033" s="823"/>
      <c r="AA1033" s="823"/>
    </row>
    <row r="1034" spans="1:27" x14ac:dyDescent="0.25">
      <c r="A1034" s="1035">
        <v>1026</v>
      </c>
      <c r="B1034" s="1035" t="s">
        <v>60</v>
      </c>
      <c r="C1034" s="1035" t="s">
        <v>195</v>
      </c>
      <c r="D1034" s="1363"/>
      <c r="E1034" s="1352"/>
      <c r="F1034" s="1352"/>
      <c r="G1034" s="1352"/>
      <c r="H1034" s="1353"/>
      <c r="I1034" s="908"/>
      <c r="J1034" s="908"/>
      <c r="K1034" s="909"/>
      <c r="L1034" s="800" t="str">
        <f>'Manuell filtrering og justering'!H2</f>
        <v>No</v>
      </c>
      <c r="M1034" s="776"/>
      <c r="N1034" s="1077" t="s">
        <v>1196</v>
      </c>
      <c r="O1034" s="822"/>
      <c r="P1034" s="822"/>
      <c r="Q1034" s="822"/>
      <c r="R1034" s="822"/>
      <c r="S1034" s="822"/>
      <c r="T1034" s="822"/>
      <c r="U1034" s="822"/>
      <c r="V1034" s="822"/>
      <c r="W1034" s="822"/>
      <c r="X1034" s="822"/>
      <c r="Y1034" s="823"/>
      <c r="Z1034" s="823"/>
      <c r="AA1034" s="823"/>
    </row>
    <row r="1035" spans="1:27" x14ac:dyDescent="0.25">
      <c r="A1035" s="1035">
        <v>1027</v>
      </c>
      <c r="B1035" s="1035" t="s">
        <v>60</v>
      </c>
      <c r="C1035" s="1035" t="s">
        <v>195</v>
      </c>
      <c r="D1035" s="1354"/>
      <c r="E1035" s="1355"/>
      <c r="F1035" s="1355"/>
      <c r="G1035" s="1355"/>
      <c r="H1035" s="1356"/>
      <c r="I1035" s="908"/>
      <c r="J1035" s="908"/>
      <c r="K1035" s="909"/>
      <c r="L1035" s="1078" t="str">
        <f>IF(L1034=AIS_Yes,'Manuell filtrering og justering'!I67,"")</f>
        <v/>
      </c>
      <c r="M1035" s="776"/>
      <c r="N1035" s="801" t="s">
        <v>1197</v>
      </c>
      <c r="O1035" s="822"/>
      <c r="P1035" s="822"/>
      <c r="Q1035" s="822"/>
      <c r="R1035" s="822"/>
      <c r="S1035" s="822"/>
      <c r="T1035" s="822"/>
      <c r="U1035" s="822"/>
      <c r="V1035" s="822"/>
      <c r="W1035" s="822"/>
      <c r="X1035" s="822"/>
      <c r="Y1035" s="823"/>
      <c r="Z1035" s="823"/>
      <c r="AA1035" s="823"/>
    </row>
    <row r="1036" spans="1:27" x14ac:dyDescent="0.25">
      <c r="A1036" s="1035">
        <v>1028</v>
      </c>
      <c r="B1036" s="1035" t="s">
        <v>60</v>
      </c>
      <c r="C1036" s="1035" t="s">
        <v>195</v>
      </c>
      <c r="D1036" s="1354"/>
      <c r="E1036" s="1355"/>
      <c r="F1036" s="1355"/>
      <c r="G1036" s="1355"/>
      <c r="H1036" s="1356"/>
      <c r="I1036" s="908"/>
      <c r="J1036" s="908"/>
      <c r="K1036" s="909"/>
      <c r="L1036" s="800"/>
      <c r="M1036" s="776"/>
      <c r="N1036" s="801"/>
      <c r="O1036" s="822"/>
      <c r="P1036" s="822"/>
      <c r="Q1036" s="822"/>
      <c r="R1036" s="822"/>
      <c r="S1036" s="822"/>
      <c r="T1036" s="822"/>
      <c r="U1036" s="822"/>
      <c r="V1036" s="822"/>
      <c r="W1036" s="822"/>
      <c r="X1036" s="822"/>
      <c r="Y1036" s="823"/>
      <c r="Z1036" s="823"/>
      <c r="AA1036" s="823"/>
    </row>
    <row r="1037" spans="1:27" x14ac:dyDescent="0.25">
      <c r="A1037" s="1035">
        <v>1029</v>
      </c>
      <c r="B1037" s="1035" t="s">
        <v>60</v>
      </c>
      <c r="C1037" s="1035" t="s">
        <v>195</v>
      </c>
      <c r="D1037" s="1364"/>
      <c r="E1037" s="1358"/>
      <c r="F1037" s="1358"/>
      <c r="G1037" s="1358"/>
      <c r="H1037" s="1359"/>
      <c r="I1037" s="908"/>
      <c r="J1037" s="908"/>
      <c r="K1037" s="909"/>
      <c r="L1037" s="800"/>
      <c r="M1037" s="776"/>
      <c r="N1037" s="801"/>
      <c r="O1037" s="822"/>
      <c r="P1037" s="822"/>
      <c r="Q1037" s="822"/>
      <c r="R1037" s="822"/>
      <c r="S1037" s="822"/>
      <c r="T1037" s="822"/>
      <c r="U1037" s="822"/>
      <c r="V1037" s="822"/>
      <c r="W1037" s="822"/>
      <c r="X1037" s="822"/>
      <c r="Y1037" s="823"/>
      <c r="Z1037" s="823"/>
      <c r="AA1037" s="823"/>
    </row>
    <row r="1038" spans="1:27" x14ac:dyDescent="0.25">
      <c r="A1038" s="1035">
        <v>1030</v>
      </c>
      <c r="B1038" s="1035" t="s">
        <v>60</v>
      </c>
      <c r="C1038" s="1035" t="s">
        <v>195</v>
      </c>
      <c r="D1038" s="1364"/>
      <c r="E1038" s="1358"/>
      <c r="F1038" s="1358"/>
      <c r="G1038" s="1358"/>
      <c r="H1038" s="1359"/>
      <c r="I1038" s="908"/>
      <c r="J1038" s="908"/>
      <c r="K1038" s="909"/>
      <c r="L1038" s="800"/>
      <c r="M1038" s="776"/>
      <c r="N1038" s="801"/>
      <c r="O1038" s="822"/>
      <c r="P1038" s="822"/>
      <c r="Q1038" s="822"/>
      <c r="R1038" s="822"/>
      <c r="S1038" s="822"/>
      <c r="T1038" s="822"/>
      <c r="U1038" s="822"/>
      <c r="V1038" s="822"/>
      <c r="W1038" s="822"/>
      <c r="X1038" s="822"/>
      <c r="Y1038" s="823"/>
      <c r="Z1038" s="823"/>
      <c r="AA1038" s="823"/>
    </row>
    <row r="1039" spans="1:27" x14ac:dyDescent="0.25">
      <c r="A1039" s="1035">
        <v>1031</v>
      </c>
      <c r="B1039" s="1035" t="s">
        <v>60</v>
      </c>
      <c r="C1039" s="1035" t="s">
        <v>195</v>
      </c>
      <c r="D1039" s="1360"/>
      <c r="E1039" s="1361"/>
      <c r="F1039" s="1361"/>
      <c r="G1039" s="1361"/>
      <c r="H1039" s="1362"/>
      <c r="I1039" s="908"/>
      <c r="J1039" s="908"/>
      <c r="K1039" s="909"/>
      <c r="L1039" s="800"/>
      <c r="M1039" s="776"/>
      <c r="N1039" s="801"/>
      <c r="O1039" s="822"/>
      <c r="P1039" s="822"/>
      <c r="Q1039" s="822"/>
      <c r="R1039" s="822"/>
      <c r="S1039" s="822"/>
      <c r="T1039" s="822"/>
      <c r="U1039" s="822"/>
      <c r="V1039" s="822"/>
      <c r="W1039" s="822"/>
      <c r="X1039" s="822"/>
      <c r="Y1039" s="823"/>
      <c r="Z1039" s="823"/>
      <c r="AA1039" s="823"/>
    </row>
    <row r="1040" spans="1:27" ht="15.75" thickBot="1" x14ac:dyDescent="0.3">
      <c r="A1040" s="1035">
        <v>1032</v>
      </c>
      <c r="B1040" s="1035" t="s">
        <v>60</v>
      </c>
      <c r="C1040" s="1035" t="s">
        <v>195</v>
      </c>
      <c r="D1040" s="1196"/>
      <c r="E1040" s="1197"/>
      <c r="F1040" s="1197"/>
      <c r="G1040" s="1197"/>
      <c r="H1040" s="1197"/>
      <c r="I1040" s="908"/>
      <c r="J1040" s="908"/>
      <c r="K1040" s="909"/>
      <c r="L1040" s="800"/>
      <c r="M1040" s="776"/>
      <c r="N1040" s="801"/>
      <c r="O1040" s="822"/>
      <c r="P1040" s="822"/>
      <c r="Q1040" s="822"/>
      <c r="R1040" s="822"/>
      <c r="S1040" s="822"/>
      <c r="T1040" s="822"/>
      <c r="U1040" s="822"/>
      <c r="V1040" s="822"/>
      <c r="W1040" s="822"/>
      <c r="X1040" s="822"/>
      <c r="Y1040" s="823"/>
      <c r="Z1040" s="823"/>
      <c r="AA1040" s="823"/>
    </row>
    <row r="1041" spans="1:27" x14ac:dyDescent="0.25">
      <c r="A1041" s="1037">
        <v>1033</v>
      </c>
      <c r="B1041" s="1037" t="s">
        <v>60</v>
      </c>
      <c r="C1041" s="802" t="s">
        <v>196</v>
      </c>
      <c r="D1041" s="1103" t="s">
        <v>919</v>
      </c>
      <c r="E1041" s="1104"/>
      <c r="F1041" s="1104"/>
      <c r="G1041" s="1105"/>
      <c r="H1041" s="1167" t="str">
        <f>IF(Wst04_credits=AIS_credit00,AIS_statement32,"")</f>
        <v/>
      </c>
      <c r="I1041" s="908"/>
      <c r="J1041" s="908"/>
      <c r="K1041" s="909"/>
      <c r="L1041" s="809" t="str">
        <f>C1041</f>
        <v>Wst 04</v>
      </c>
      <c r="M1041" s="776"/>
      <c r="N1041" s="801"/>
      <c r="O1041" s="1277" t="s">
        <v>1276</v>
      </c>
      <c r="P1041" s="822"/>
      <c r="Q1041" s="822"/>
      <c r="R1041" s="822"/>
      <c r="S1041" s="822"/>
      <c r="T1041" s="822"/>
      <c r="U1041" s="822"/>
      <c r="V1041" s="822"/>
      <c r="W1041" s="822"/>
      <c r="X1041" s="822"/>
      <c r="Y1041" s="823"/>
      <c r="Z1041" s="823"/>
      <c r="AA1041" s="823"/>
    </row>
    <row r="1042" spans="1:27" x14ac:dyDescent="0.25">
      <c r="A1042" s="1035">
        <v>1034</v>
      </c>
      <c r="B1042" s="1035" t="s">
        <v>60</v>
      </c>
      <c r="C1042" s="1035" t="s">
        <v>196</v>
      </c>
      <c r="D1042" s="1107" t="s">
        <v>17</v>
      </c>
      <c r="E1042" s="1108">
        <f>Wst04_credits</f>
        <v>1</v>
      </c>
      <c r="F1042" s="1109"/>
      <c r="G1042" s="1110" t="s">
        <v>85</v>
      </c>
      <c r="H1042" s="1111">
        <f>Wst04_08</f>
        <v>1.2499999999999999E-2</v>
      </c>
      <c r="I1042" s="1029"/>
      <c r="K1042" s="909"/>
      <c r="L1042" s="820"/>
      <c r="M1042" s="776"/>
      <c r="N1042" s="801"/>
      <c r="O1042" s="822"/>
      <c r="P1042" s="822"/>
      <c r="Q1042" s="822"/>
      <c r="R1042" s="822"/>
      <c r="S1042" s="822"/>
      <c r="T1042" s="822"/>
      <c r="U1042" s="822"/>
      <c r="V1042" s="822"/>
      <c r="W1042" s="822"/>
      <c r="X1042" s="822"/>
      <c r="Y1042" s="823"/>
      <c r="Z1042" s="823"/>
      <c r="AA1042" s="823"/>
    </row>
    <row r="1043" spans="1:27" x14ac:dyDescent="0.25">
      <c r="A1043" s="1035">
        <v>1035</v>
      </c>
      <c r="B1043" s="1035" t="s">
        <v>60</v>
      </c>
      <c r="C1043" s="1035" t="s">
        <v>196</v>
      </c>
      <c r="D1043" s="1112" t="s">
        <v>349</v>
      </c>
      <c r="E1043" s="1113">
        <v>0</v>
      </c>
      <c r="F1043" s="1114"/>
      <c r="G1043" s="1115" t="s">
        <v>350</v>
      </c>
      <c r="H1043" s="1116" t="s">
        <v>15</v>
      </c>
      <c r="I1043" s="908"/>
      <c r="J1043" s="908"/>
      <c r="K1043" s="909"/>
      <c r="L1043" s="820"/>
      <c r="M1043" s="776"/>
      <c r="N1043" s="801"/>
      <c r="O1043" s="822"/>
      <c r="P1043" s="822"/>
      <c r="Q1043" s="822"/>
      <c r="R1043" s="822"/>
      <c r="S1043" s="822"/>
      <c r="T1043" s="822"/>
      <c r="U1043" s="822"/>
      <c r="V1043" s="822"/>
      <c r="W1043" s="822"/>
      <c r="X1043" s="822"/>
      <c r="Y1043" s="823"/>
      <c r="Z1043" s="823"/>
      <c r="AA1043" s="823"/>
    </row>
    <row r="1044" spans="1:27" x14ac:dyDescent="0.25">
      <c r="A1044" s="1035">
        <v>1036</v>
      </c>
      <c r="B1044" s="1035" t="s">
        <v>60</v>
      </c>
      <c r="C1044" s="1035" t="s">
        <v>196</v>
      </c>
      <c r="I1044" s="908"/>
      <c r="J1044" s="908"/>
      <c r="K1044" s="909"/>
      <c r="L1044" s="820"/>
      <c r="M1044" s="776"/>
      <c r="N1044" s="801"/>
      <c r="O1044" s="822"/>
      <c r="P1044" s="822"/>
      <c r="Q1044" s="822"/>
      <c r="R1044" s="822"/>
      <c r="S1044" s="822"/>
      <c r="T1044" s="822"/>
      <c r="U1044" s="822"/>
      <c r="V1044" s="822"/>
      <c r="W1044" s="822"/>
      <c r="X1044" s="822"/>
      <c r="Y1044" s="823"/>
      <c r="Z1044" s="823"/>
      <c r="AA1044" s="823"/>
    </row>
    <row r="1045" spans="1:27" ht="15.75" thickBot="1" x14ac:dyDescent="0.3">
      <c r="A1045" s="1035">
        <v>1037</v>
      </c>
      <c r="B1045" s="1035" t="s">
        <v>60</v>
      </c>
      <c r="C1045" s="1035" t="s">
        <v>196</v>
      </c>
      <c r="D1045" s="1117" t="s">
        <v>351</v>
      </c>
      <c r="E1045" s="1118" t="s">
        <v>352</v>
      </c>
      <c r="F1045" s="1118" t="s">
        <v>353</v>
      </c>
      <c r="G1045" s="1118" t="s">
        <v>354</v>
      </c>
      <c r="H1045" s="1118" t="s">
        <v>355</v>
      </c>
      <c r="I1045" s="908"/>
      <c r="J1045" s="908"/>
      <c r="K1045" s="909"/>
      <c r="L1045" s="820"/>
      <c r="M1045" s="776"/>
      <c r="N1045" s="801"/>
      <c r="O1045" s="822"/>
      <c r="P1045" s="822"/>
      <c r="Q1045" s="822"/>
      <c r="R1045" s="822"/>
      <c r="S1045" s="822"/>
      <c r="T1045" s="822"/>
      <c r="U1045" s="822"/>
      <c r="V1045" s="822"/>
      <c r="W1045" s="822"/>
      <c r="X1045" s="822"/>
      <c r="Y1045" s="823"/>
      <c r="Z1045" s="823"/>
      <c r="AA1045" s="823"/>
    </row>
    <row r="1046" spans="1:27" ht="15.75" thickBot="1" x14ac:dyDescent="0.3">
      <c r="A1046" s="1035">
        <v>1038</v>
      </c>
      <c r="B1046" s="1035" t="s">
        <v>60</v>
      </c>
      <c r="C1046" s="1035" t="s">
        <v>196</v>
      </c>
      <c r="D1046" s="1142" t="s">
        <v>1078</v>
      </c>
      <c r="E1046" s="1098" t="s">
        <v>360</v>
      </c>
      <c r="F1046" s="1143">
        <f>E1042</f>
        <v>1</v>
      </c>
      <c r="G1046" s="1143">
        <f>IF(E1046=AIS_Yes,E1042,0)</f>
        <v>0</v>
      </c>
      <c r="H1046" s="1327" t="s">
        <v>16</v>
      </c>
      <c r="I1046" s="1029"/>
      <c r="K1046" s="909"/>
      <c r="L1046" s="820"/>
      <c r="M1046" s="821"/>
      <c r="N1046" s="801"/>
      <c r="O1046" s="102" t="s">
        <v>1273</v>
      </c>
      <c r="P1046" s="822"/>
      <c r="Q1046" s="822"/>
      <c r="R1046" s="822"/>
      <c r="S1046" s="822"/>
      <c r="T1046" s="822"/>
      <c r="U1046" s="822" t="str">
        <f>$T$4</f>
        <v>No</v>
      </c>
      <c r="V1046" s="822"/>
      <c r="W1046" s="822"/>
      <c r="X1046" s="822"/>
      <c r="Y1046" s="823"/>
      <c r="Z1046" s="823"/>
      <c r="AA1046" s="823"/>
    </row>
    <row r="1047" spans="1:27" x14ac:dyDescent="0.25">
      <c r="A1047" s="1035">
        <v>1039</v>
      </c>
      <c r="B1047" s="1035" t="s">
        <v>60</v>
      </c>
      <c r="C1047" s="1035" t="s">
        <v>196</v>
      </c>
      <c r="E1047" s="1144"/>
      <c r="I1047" s="908"/>
      <c r="J1047" s="908"/>
      <c r="K1047" s="909"/>
      <c r="L1047" s="820"/>
      <c r="M1047" s="821"/>
      <c r="N1047" s="801"/>
      <c r="O1047" s="822"/>
      <c r="P1047" s="822"/>
      <c r="Q1047" s="822"/>
      <c r="R1047" s="822"/>
      <c r="S1047" s="822"/>
      <c r="T1047" s="822"/>
      <c r="U1047" s="822"/>
      <c r="V1047" s="822"/>
      <c r="W1047" s="822"/>
      <c r="X1047" s="822"/>
      <c r="Y1047" s="823"/>
      <c r="Z1047" s="823"/>
      <c r="AA1047" s="823"/>
    </row>
    <row r="1048" spans="1:27" x14ac:dyDescent="0.25">
      <c r="A1048" s="1035">
        <v>1040</v>
      </c>
      <c r="B1048" s="1035" t="s">
        <v>60</v>
      </c>
      <c r="C1048" s="1035" t="s">
        <v>196</v>
      </c>
      <c r="D1048" s="1127" t="s">
        <v>356</v>
      </c>
      <c r="E1048" s="1128">
        <f>G1046</f>
        <v>0</v>
      </c>
      <c r="I1048" s="1029"/>
      <c r="J1048" s="908"/>
      <c r="K1048" s="909"/>
      <c r="L1048" s="820"/>
      <c r="M1048" s="821"/>
      <c r="N1048" s="801"/>
      <c r="O1048" s="822"/>
      <c r="P1048" s="822"/>
      <c r="Q1048" s="822"/>
      <c r="R1048" s="822"/>
      <c r="S1048" s="822"/>
      <c r="T1048" s="822"/>
      <c r="U1048" s="822"/>
      <c r="V1048" s="822"/>
      <c r="W1048" s="822"/>
      <c r="X1048" s="822"/>
      <c r="Y1048" s="823"/>
      <c r="Z1048" s="823"/>
      <c r="AA1048" s="823"/>
    </row>
    <row r="1049" spans="1:27" x14ac:dyDescent="0.25">
      <c r="A1049" s="1035">
        <v>1041</v>
      </c>
      <c r="B1049" s="1035" t="s">
        <v>60</v>
      </c>
      <c r="C1049" s="1035" t="s">
        <v>196</v>
      </c>
      <c r="D1049" s="1129" t="s">
        <v>86</v>
      </c>
      <c r="E1049" s="1130">
        <f>Wst04_09</f>
        <v>0</v>
      </c>
      <c r="I1049" s="908"/>
      <c r="J1049" s="908"/>
      <c r="K1049" s="909"/>
      <c r="L1049" s="820"/>
      <c r="M1049" s="821"/>
      <c r="N1049" s="801"/>
      <c r="O1049" s="822"/>
      <c r="P1049" s="822"/>
      <c r="Q1049" s="822"/>
      <c r="R1049" s="822"/>
      <c r="S1049" s="822"/>
      <c r="T1049" s="822"/>
      <c r="U1049" s="822"/>
      <c r="V1049" s="822"/>
      <c r="W1049" s="822"/>
      <c r="X1049" s="822"/>
      <c r="Y1049" s="823"/>
      <c r="Z1049" s="823"/>
      <c r="AA1049" s="823"/>
    </row>
    <row r="1050" spans="1:27" x14ac:dyDescent="0.25">
      <c r="A1050" s="1035">
        <v>1042</v>
      </c>
      <c r="B1050" s="1035" t="s">
        <v>60</v>
      </c>
      <c r="C1050" s="1035" t="s">
        <v>196</v>
      </c>
      <c r="D1050" s="1131" t="s">
        <v>357</v>
      </c>
      <c r="E1050" s="1128" t="s">
        <v>16</v>
      </c>
      <c r="I1050" s="908"/>
      <c r="J1050" s="908"/>
      <c r="K1050" s="909"/>
      <c r="L1050" s="820"/>
      <c r="M1050" s="821"/>
      <c r="N1050" s="801"/>
      <c r="O1050" s="822"/>
      <c r="P1050" s="822"/>
      <c r="Q1050" s="822"/>
      <c r="R1050" s="822"/>
      <c r="S1050" s="822"/>
      <c r="T1050" s="822"/>
      <c r="U1050" s="822"/>
      <c r="V1050" s="822"/>
      <c r="W1050" s="822"/>
      <c r="X1050" s="822"/>
      <c r="Y1050" s="823"/>
      <c r="Z1050" s="823"/>
      <c r="AA1050" s="823"/>
    </row>
    <row r="1051" spans="1:27" x14ac:dyDescent="0.25">
      <c r="A1051" s="1035">
        <v>1043</v>
      </c>
      <c r="B1051" s="1035" t="s">
        <v>60</v>
      </c>
      <c r="C1051" s="1035" t="s">
        <v>196</v>
      </c>
      <c r="D1051" s="1132" t="s">
        <v>55</v>
      </c>
      <c r="E1051" s="1133" t="s">
        <v>16</v>
      </c>
      <c r="F1051" s="1134"/>
      <c r="G1051" s="1135"/>
      <c r="I1051" s="908"/>
      <c r="J1051" s="908"/>
      <c r="K1051" s="909"/>
      <c r="L1051" s="820"/>
      <c r="M1051" s="821"/>
      <c r="N1051" s="801"/>
      <c r="O1051" s="822"/>
      <c r="P1051" s="822"/>
      <c r="Q1051" s="822"/>
      <c r="R1051" s="822"/>
      <c r="S1051" s="822"/>
      <c r="T1051" s="822"/>
      <c r="U1051" s="822"/>
      <c r="V1051" s="822"/>
      <c r="W1051" s="822"/>
      <c r="X1051" s="822"/>
      <c r="Y1051" s="823"/>
      <c r="Z1051" s="823"/>
      <c r="AA1051" s="823"/>
    </row>
    <row r="1052" spans="1:27" x14ac:dyDescent="0.25">
      <c r="A1052" s="1035">
        <v>1044</v>
      </c>
      <c r="B1052" s="1035" t="s">
        <v>60</v>
      </c>
      <c r="C1052" s="1035" t="s">
        <v>196</v>
      </c>
      <c r="I1052" s="908"/>
      <c r="J1052" s="908"/>
      <c r="K1052" s="909"/>
      <c r="L1052" s="820"/>
      <c r="M1052" s="821"/>
      <c r="N1052" s="801"/>
      <c r="O1052" s="822"/>
      <c r="P1052" s="822"/>
      <c r="Q1052" s="822"/>
      <c r="R1052" s="822"/>
      <c r="S1052" s="822"/>
      <c r="T1052" s="822"/>
      <c r="U1052" s="822"/>
      <c r="V1052" s="822"/>
      <c r="W1052" s="822"/>
      <c r="X1052" s="822"/>
      <c r="Y1052" s="823"/>
      <c r="Z1052" s="823"/>
      <c r="AA1052" s="823"/>
    </row>
    <row r="1053" spans="1:27" x14ac:dyDescent="0.25">
      <c r="A1053" s="1035">
        <v>1045</v>
      </c>
      <c r="B1053" s="1035" t="s">
        <v>60</v>
      </c>
      <c r="C1053" s="1035" t="s">
        <v>196</v>
      </c>
      <c r="D1053" s="1136" t="s">
        <v>359</v>
      </c>
      <c r="E1053" s="1136" t="s">
        <v>977</v>
      </c>
      <c r="F1053" s="1136" t="str">
        <f>HLOOKUP(C1053,'Assessment References'!$H$512:$BG$513,2,FALSE)</f>
        <v/>
      </c>
      <c r="G1053" s="1137"/>
      <c r="H1053" s="1138"/>
      <c r="I1053" s="908"/>
      <c r="J1053" s="908"/>
      <c r="K1053" s="909"/>
      <c r="L1053" s="820"/>
      <c r="M1053" s="821"/>
      <c r="N1053" s="801"/>
      <c r="O1053" s="822"/>
      <c r="P1053" s="822"/>
      <c r="Q1053" s="822"/>
      <c r="R1053" s="822"/>
      <c r="S1053" s="822"/>
      <c r="T1053" s="822"/>
      <c r="U1053" s="822"/>
      <c r="V1053" s="822"/>
      <c r="W1053" s="822"/>
      <c r="X1053" s="822"/>
      <c r="Y1053" s="823"/>
      <c r="Z1053" s="823"/>
      <c r="AA1053" s="823"/>
    </row>
    <row r="1054" spans="1:27" x14ac:dyDescent="0.25">
      <c r="A1054" s="1035">
        <v>1046</v>
      </c>
      <c r="B1054" s="1035" t="s">
        <v>60</v>
      </c>
      <c r="C1054" s="1035" t="s">
        <v>196</v>
      </c>
      <c r="D1054" s="1363"/>
      <c r="E1054" s="1352"/>
      <c r="F1054" s="1352"/>
      <c r="G1054" s="1352"/>
      <c r="H1054" s="1353"/>
      <c r="I1054" s="908"/>
      <c r="J1054" s="908"/>
      <c r="K1054" s="909"/>
      <c r="L1054" s="820"/>
      <c r="M1054" s="821"/>
      <c r="N1054" s="801"/>
      <c r="O1054" s="822"/>
      <c r="P1054" s="822"/>
      <c r="Q1054" s="822"/>
      <c r="R1054" s="822"/>
      <c r="S1054" s="822"/>
      <c r="T1054" s="822"/>
      <c r="U1054" s="822"/>
      <c r="V1054" s="822"/>
      <c r="W1054" s="822"/>
      <c r="X1054" s="822"/>
      <c r="Y1054" s="823"/>
      <c r="Z1054" s="823"/>
      <c r="AA1054" s="823"/>
    </row>
    <row r="1055" spans="1:27" x14ac:dyDescent="0.25">
      <c r="A1055" s="1035">
        <v>1047</v>
      </c>
      <c r="B1055" s="1035" t="s">
        <v>60</v>
      </c>
      <c r="C1055" s="1035" t="s">
        <v>196</v>
      </c>
      <c r="D1055" s="1354"/>
      <c r="E1055" s="1355"/>
      <c r="F1055" s="1355"/>
      <c r="G1055" s="1355"/>
      <c r="H1055" s="1356"/>
      <c r="I1055" s="908"/>
      <c r="J1055" s="908"/>
      <c r="K1055" s="909"/>
      <c r="L1055" s="820"/>
      <c r="M1055" s="821"/>
      <c r="N1055" s="801"/>
      <c r="O1055" s="822"/>
      <c r="P1055" s="822"/>
      <c r="Q1055" s="822"/>
      <c r="R1055" s="822"/>
      <c r="S1055" s="822"/>
      <c r="T1055" s="822"/>
      <c r="U1055" s="822"/>
      <c r="V1055" s="822"/>
      <c r="W1055" s="822"/>
      <c r="X1055" s="822"/>
      <c r="Y1055" s="823"/>
      <c r="Z1055" s="823"/>
      <c r="AA1055" s="823"/>
    </row>
    <row r="1056" spans="1:27" x14ac:dyDescent="0.25">
      <c r="A1056" s="1035">
        <v>1048</v>
      </c>
      <c r="B1056" s="1035" t="s">
        <v>60</v>
      </c>
      <c r="C1056" s="1035" t="s">
        <v>196</v>
      </c>
      <c r="D1056" s="1354"/>
      <c r="E1056" s="1355"/>
      <c r="F1056" s="1355"/>
      <c r="G1056" s="1355"/>
      <c r="H1056" s="1356"/>
      <c r="I1056" s="908"/>
      <c r="J1056" s="908"/>
      <c r="K1056" s="909"/>
      <c r="L1056" s="820"/>
      <c r="M1056" s="821"/>
      <c r="N1056" s="801"/>
      <c r="O1056" s="822"/>
      <c r="P1056" s="822"/>
      <c r="Q1056" s="822"/>
      <c r="R1056" s="822"/>
      <c r="S1056" s="822"/>
      <c r="T1056" s="822"/>
      <c r="U1056" s="822"/>
      <c r="V1056" s="822"/>
      <c r="W1056" s="822"/>
      <c r="X1056" s="822"/>
      <c r="Y1056" s="823"/>
      <c r="Z1056" s="823"/>
      <c r="AA1056" s="823"/>
    </row>
    <row r="1057" spans="1:27" x14ac:dyDescent="0.25">
      <c r="A1057" s="1035">
        <v>1049</v>
      </c>
      <c r="B1057" s="1035" t="s">
        <v>60</v>
      </c>
      <c r="C1057" s="1035" t="s">
        <v>196</v>
      </c>
      <c r="D1057" s="1364"/>
      <c r="E1057" s="1358"/>
      <c r="F1057" s="1358"/>
      <c r="G1057" s="1358"/>
      <c r="H1057" s="1359"/>
      <c r="I1057" s="908"/>
      <c r="J1057" s="908"/>
      <c r="K1057" s="909"/>
      <c r="L1057" s="820"/>
      <c r="M1057" s="821"/>
      <c r="N1057" s="801"/>
      <c r="O1057" s="822"/>
      <c r="P1057" s="822"/>
      <c r="Q1057" s="822"/>
      <c r="R1057" s="822"/>
      <c r="S1057" s="822"/>
      <c r="T1057" s="822"/>
      <c r="U1057" s="822"/>
      <c r="V1057" s="822"/>
      <c r="W1057" s="822"/>
      <c r="X1057" s="822"/>
      <c r="Y1057" s="823"/>
      <c r="Z1057" s="823"/>
      <c r="AA1057" s="823"/>
    </row>
    <row r="1058" spans="1:27" x14ac:dyDescent="0.25">
      <c r="A1058" s="1035">
        <v>1050</v>
      </c>
      <c r="B1058" s="1035" t="s">
        <v>60</v>
      </c>
      <c r="C1058" s="1035" t="s">
        <v>196</v>
      </c>
      <c r="D1058" s="1364"/>
      <c r="E1058" s="1358"/>
      <c r="F1058" s="1358"/>
      <c r="G1058" s="1358"/>
      <c r="H1058" s="1359"/>
      <c r="I1058" s="908"/>
      <c r="J1058" s="908"/>
      <c r="K1058" s="909"/>
      <c r="L1058" s="820"/>
      <c r="M1058" s="821"/>
      <c r="N1058" s="801"/>
      <c r="O1058" s="822"/>
      <c r="P1058" s="822"/>
      <c r="Q1058" s="822"/>
      <c r="R1058" s="822"/>
      <c r="S1058" s="822"/>
      <c r="T1058" s="822"/>
      <c r="U1058" s="822"/>
      <c r="V1058" s="822"/>
      <c r="W1058" s="822"/>
      <c r="X1058" s="822"/>
      <c r="Y1058" s="823"/>
      <c r="Z1058" s="823"/>
      <c r="AA1058" s="823"/>
    </row>
    <row r="1059" spans="1:27" x14ac:dyDescent="0.25">
      <c r="A1059" s="1035">
        <v>1051</v>
      </c>
      <c r="B1059" s="1035" t="s">
        <v>60</v>
      </c>
      <c r="C1059" s="1035" t="s">
        <v>196</v>
      </c>
      <c r="D1059" s="1360"/>
      <c r="E1059" s="1361"/>
      <c r="F1059" s="1361"/>
      <c r="G1059" s="1361"/>
      <c r="H1059" s="1362"/>
      <c r="I1059" s="908"/>
      <c r="J1059" s="908"/>
      <c r="K1059" s="909"/>
      <c r="L1059" s="820"/>
      <c r="M1059" s="821"/>
      <c r="N1059" s="801"/>
      <c r="O1059" s="822"/>
      <c r="P1059" s="822"/>
      <c r="Q1059" s="822"/>
      <c r="R1059" s="822"/>
      <c r="S1059" s="822"/>
      <c r="T1059" s="822"/>
      <c r="U1059" s="822"/>
      <c r="V1059" s="822"/>
      <c r="W1059" s="822"/>
      <c r="X1059" s="822"/>
      <c r="Y1059" s="823"/>
      <c r="Z1059" s="823"/>
      <c r="AA1059" s="823"/>
    </row>
    <row r="1060" spans="1:27" x14ac:dyDescent="0.25">
      <c r="A1060" s="1035">
        <v>1052</v>
      </c>
      <c r="B1060" s="1035" t="s">
        <v>60</v>
      </c>
      <c r="C1060" s="1035" t="s">
        <v>196</v>
      </c>
      <c r="D1060" s="1196"/>
      <c r="E1060" s="1197"/>
      <c r="F1060" s="1197"/>
      <c r="G1060" s="1197"/>
      <c r="H1060" s="1197"/>
      <c r="I1060" s="908"/>
      <c r="J1060" s="908"/>
      <c r="K1060" s="909"/>
      <c r="L1060" s="820"/>
      <c r="M1060" s="821"/>
      <c r="N1060" s="801"/>
      <c r="O1060" s="822"/>
      <c r="P1060" s="822"/>
      <c r="Q1060" s="822"/>
      <c r="R1060" s="822"/>
      <c r="S1060" s="822"/>
      <c r="T1060" s="822"/>
      <c r="U1060" s="822"/>
      <c r="V1060" s="822"/>
      <c r="W1060" s="822"/>
      <c r="X1060" s="822"/>
      <c r="Y1060" s="823"/>
      <c r="Z1060" s="823"/>
      <c r="AA1060" s="823"/>
    </row>
    <row r="1061" spans="1:27" ht="18.75" x14ac:dyDescent="0.3">
      <c r="A1061" s="1041">
        <v>1053</v>
      </c>
      <c r="B1061" s="1032" t="s">
        <v>61</v>
      </c>
      <c r="C1061" s="1033"/>
      <c r="D1061" s="1154"/>
      <c r="E1061" s="1154"/>
      <c r="F1061" s="1154"/>
      <c r="G1061" s="1154"/>
      <c r="H1061" s="1155"/>
      <c r="I1061" s="908"/>
      <c r="J1061" s="908"/>
      <c r="K1061" s="912"/>
      <c r="L1061" s="820"/>
      <c r="M1061" s="821"/>
      <c r="N1061" s="801"/>
      <c r="O1061" s="822"/>
      <c r="P1061" s="822"/>
      <c r="Q1061" s="822"/>
      <c r="R1061" s="822"/>
      <c r="S1061" s="822"/>
      <c r="T1061" s="822"/>
      <c r="U1061" s="822"/>
      <c r="V1061" s="822"/>
      <c r="W1061" s="822"/>
      <c r="X1061" s="822"/>
      <c r="Y1061" s="823"/>
      <c r="Z1061" s="823"/>
      <c r="AA1061" s="823"/>
    </row>
    <row r="1062" spans="1:27" ht="15.75" thickBot="1" x14ac:dyDescent="0.3">
      <c r="A1062" s="1035">
        <v>1054</v>
      </c>
      <c r="B1062" s="1035" t="s">
        <v>61</v>
      </c>
      <c r="C1062" s="1029"/>
      <c r="D1062" s="1198"/>
      <c r="E1062" s="1198"/>
      <c r="F1062" s="1199"/>
      <c r="G1062" s="1199"/>
      <c r="H1062" s="1200"/>
      <c r="I1062" s="913"/>
      <c r="J1062" s="913"/>
      <c r="K1062" s="914"/>
      <c r="L1062" s="820"/>
      <c r="M1062" s="821"/>
      <c r="N1062" s="801"/>
      <c r="O1062" s="822"/>
      <c r="P1062" s="822"/>
      <c r="Q1062" s="822"/>
      <c r="R1062" s="822"/>
      <c r="S1062" s="822"/>
      <c r="T1062" s="822"/>
      <c r="U1062" s="822"/>
      <c r="V1062" s="822"/>
      <c r="W1062" s="822"/>
      <c r="X1062" s="822"/>
      <c r="Y1062" s="823"/>
      <c r="Z1062" s="823"/>
      <c r="AA1062" s="823"/>
    </row>
    <row r="1063" spans="1:27" ht="15.75" thickBot="1" x14ac:dyDescent="0.3">
      <c r="A1063" s="1046">
        <v>1055</v>
      </c>
      <c r="B1063" s="1046" t="s">
        <v>61</v>
      </c>
      <c r="C1063" s="803" t="s">
        <v>197</v>
      </c>
      <c r="D1063" s="1103" t="s">
        <v>920</v>
      </c>
      <c r="E1063" s="1104"/>
      <c r="F1063" s="1104"/>
      <c r="G1063" s="1105"/>
      <c r="H1063" s="1105"/>
      <c r="I1063" s="915"/>
      <c r="J1063" s="915"/>
      <c r="K1063" s="909"/>
      <c r="L1063" s="804" t="str">
        <f>C1063</f>
        <v>LE 01</v>
      </c>
      <c r="M1063" s="821"/>
      <c r="N1063" s="801"/>
      <c r="O1063" s="822"/>
      <c r="P1063" s="822"/>
      <c r="Q1063" s="822"/>
      <c r="R1063" s="822"/>
      <c r="S1063" s="822"/>
      <c r="T1063" s="822"/>
      <c r="U1063" s="822"/>
      <c r="V1063" s="822"/>
      <c r="W1063" s="822"/>
      <c r="X1063" s="822"/>
      <c r="Y1063" s="823"/>
      <c r="Z1063" s="823"/>
      <c r="AA1063" s="823"/>
    </row>
    <row r="1064" spans="1:27" x14ac:dyDescent="0.25">
      <c r="A1064" s="1035">
        <v>1056</v>
      </c>
      <c r="B1064" s="1035" t="s">
        <v>61</v>
      </c>
      <c r="C1064" s="1035" t="s">
        <v>197</v>
      </c>
      <c r="D1064" s="1107" t="s">
        <v>17</v>
      </c>
      <c r="E1064" s="1108">
        <f>LE01_credits</f>
        <v>3</v>
      </c>
      <c r="F1064" s="1109"/>
      <c r="G1064" s="1110" t="s">
        <v>85</v>
      </c>
      <c r="H1064" s="1111">
        <f>LE01_07</f>
        <v>0.03</v>
      </c>
      <c r="I1064" s="908"/>
      <c r="J1064" s="908"/>
      <c r="K1064" s="909"/>
      <c r="L1064" s="820"/>
      <c r="M1064" s="821"/>
      <c r="N1064" s="801"/>
      <c r="O1064" s="822"/>
      <c r="P1064" s="822"/>
      <c r="Q1064" s="822"/>
      <c r="R1064" s="822"/>
      <c r="S1064" s="822"/>
      <c r="T1064" s="822"/>
      <c r="U1064" s="822"/>
      <c r="V1064" s="822"/>
      <c r="W1064" s="822"/>
      <c r="X1064" s="822"/>
      <c r="Y1064" s="823"/>
      <c r="Z1064" s="823"/>
      <c r="AA1064" s="823"/>
    </row>
    <row r="1065" spans="1:27" x14ac:dyDescent="0.25">
      <c r="A1065" s="1035">
        <v>1057</v>
      </c>
      <c r="B1065" s="1035" t="s">
        <v>61</v>
      </c>
      <c r="C1065" s="1035" t="s">
        <v>197</v>
      </c>
      <c r="D1065" s="1112" t="s">
        <v>349</v>
      </c>
      <c r="E1065" s="1113">
        <v>0</v>
      </c>
      <c r="F1065" s="1114"/>
      <c r="G1065" s="1115" t="s">
        <v>350</v>
      </c>
      <c r="H1065" s="1116" t="s">
        <v>15</v>
      </c>
      <c r="I1065" s="908"/>
      <c r="J1065" s="908"/>
      <c r="K1065" s="909"/>
      <c r="L1065" s="820"/>
      <c r="M1065" s="821"/>
      <c r="N1065" s="801"/>
      <c r="O1065" s="822"/>
      <c r="P1065" s="822"/>
      <c r="Q1065" s="822"/>
      <c r="R1065" s="822"/>
      <c r="S1065" s="822"/>
      <c r="T1065" s="822"/>
      <c r="U1065" s="822"/>
      <c r="V1065" s="822"/>
      <c r="W1065" s="822"/>
      <c r="X1065" s="822"/>
      <c r="Y1065" s="823"/>
      <c r="Z1065" s="823"/>
      <c r="AA1065" s="823"/>
    </row>
    <row r="1066" spans="1:27" x14ac:dyDescent="0.25">
      <c r="A1066" s="1035">
        <v>1058</v>
      </c>
      <c r="B1066" s="1035" t="s">
        <v>61</v>
      </c>
      <c r="C1066" s="1035" t="s">
        <v>197</v>
      </c>
      <c r="I1066" s="908"/>
      <c r="J1066" s="908"/>
      <c r="K1066" s="909"/>
      <c r="L1066" s="820"/>
      <c r="M1066" s="821"/>
      <c r="N1066" s="801"/>
      <c r="O1066" s="822"/>
      <c r="P1066" s="822"/>
      <c r="Q1066" s="822"/>
      <c r="R1066" s="822"/>
      <c r="S1066" s="822"/>
      <c r="T1066" s="822"/>
      <c r="U1066" s="822"/>
      <c r="V1066" s="822"/>
      <c r="W1066" s="822"/>
      <c r="X1066" s="822"/>
      <c r="Y1066" s="823"/>
      <c r="Z1066" s="823"/>
      <c r="AA1066" s="823"/>
    </row>
    <row r="1067" spans="1:27" ht="15.75" thickBot="1" x14ac:dyDescent="0.3">
      <c r="A1067" s="1035">
        <v>1059</v>
      </c>
      <c r="B1067" s="1035" t="s">
        <v>61</v>
      </c>
      <c r="C1067" s="1035" t="s">
        <v>197</v>
      </c>
      <c r="D1067" s="1117" t="s">
        <v>1079</v>
      </c>
      <c r="E1067" s="1118" t="s">
        <v>472</v>
      </c>
      <c r="F1067" s="1118" t="s">
        <v>353</v>
      </c>
      <c r="G1067" s="1118" t="s">
        <v>354</v>
      </c>
      <c r="H1067" s="1118" t="s">
        <v>355</v>
      </c>
      <c r="I1067" s="908"/>
      <c r="J1067" s="908"/>
      <c r="K1067" s="909"/>
      <c r="L1067" s="820"/>
      <c r="M1067" s="821"/>
      <c r="N1067" s="801"/>
      <c r="O1067" s="822"/>
      <c r="P1067" s="822"/>
      <c r="Q1067" s="822"/>
      <c r="R1067" s="822"/>
      <c r="S1067" s="822"/>
      <c r="T1067" s="822"/>
      <c r="U1067" s="822"/>
      <c r="V1067" s="822"/>
      <c r="W1067" s="822"/>
      <c r="X1067" s="822"/>
      <c r="Y1067" s="823"/>
      <c r="Z1067" s="823"/>
      <c r="AA1067" s="823"/>
    </row>
    <row r="1068" spans="1:27" ht="15.75" thickBot="1" x14ac:dyDescent="0.3">
      <c r="A1068" s="1035">
        <v>1060</v>
      </c>
      <c r="B1068" s="1035" t="s">
        <v>61</v>
      </c>
      <c r="C1068" s="1035" t="s">
        <v>197</v>
      </c>
      <c r="D1068" s="1142" t="s">
        <v>473</v>
      </c>
      <c r="E1068" s="1171" t="s">
        <v>545</v>
      </c>
      <c r="F1068" s="1143">
        <v>2</v>
      </c>
      <c r="G1068" s="1143">
        <f>IF(E1068=Options!Q3,0,IF(E1068&lt;0.75,0,IF(E1068&lt;0.95,1,2)))</f>
        <v>0</v>
      </c>
      <c r="H1068" s="1327" t="s">
        <v>16</v>
      </c>
      <c r="I1068" s="908"/>
      <c r="J1068" s="908"/>
      <c r="K1068" s="909"/>
      <c r="L1068" s="820"/>
      <c r="M1068" s="821"/>
      <c r="N1068" s="801"/>
      <c r="O1068" s="102" t="s">
        <v>1273</v>
      </c>
      <c r="P1068" s="822"/>
      <c r="Q1068" s="822"/>
      <c r="R1068" s="822"/>
      <c r="S1068" s="822"/>
      <c r="T1068" s="822"/>
      <c r="U1068" s="822" t="str">
        <f>$T$4</f>
        <v>No</v>
      </c>
      <c r="V1068" s="822"/>
      <c r="W1068" s="822"/>
      <c r="X1068" s="822"/>
      <c r="Y1068" s="823"/>
      <c r="Z1068" s="823"/>
      <c r="AA1068" s="823"/>
    </row>
    <row r="1069" spans="1:27" x14ac:dyDescent="0.25">
      <c r="A1069" s="1035">
        <v>1061</v>
      </c>
      <c r="B1069" s="1035" t="s">
        <v>61</v>
      </c>
      <c r="C1069" s="1035" t="s">
        <v>197</v>
      </c>
      <c r="I1069" s="908"/>
      <c r="J1069" s="908"/>
      <c r="K1069" s="909"/>
      <c r="L1069" s="820"/>
      <c r="M1069" s="821"/>
      <c r="N1069" s="801"/>
      <c r="O1069" s="822"/>
      <c r="P1069" s="822"/>
      <c r="Q1069" s="822"/>
      <c r="R1069" s="822"/>
      <c r="S1069" s="822"/>
      <c r="T1069" s="822"/>
      <c r="U1069" s="822"/>
      <c r="V1069" s="822"/>
      <c r="W1069" s="822"/>
      <c r="X1069" s="822"/>
      <c r="Y1069" s="823"/>
      <c r="Z1069" s="823"/>
      <c r="AA1069" s="823"/>
    </row>
    <row r="1070" spans="1:27" ht="15.75" thickBot="1" x14ac:dyDescent="0.3">
      <c r="A1070" s="1035">
        <v>1062</v>
      </c>
      <c r="B1070" s="1035" t="s">
        <v>61</v>
      </c>
      <c r="C1070" s="1035" t="s">
        <v>197</v>
      </c>
      <c r="D1070" s="1117" t="s">
        <v>474</v>
      </c>
      <c r="E1070" s="1118" t="s">
        <v>352</v>
      </c>
      <c r="F1070" s="1118" t="s">
        <v>353</v>
      </c>
      <c r="G1070" s="1118" t="s">
        <v>354</v>
      </c>
      <c r="H1070" s="1118" t="s">
        <v>355</v>
      </c>
      <c r="I1070" s="908"/>
      <c r="J1070" s="908"/>
      <c r="K1070" s="909"/>
      <c r="L1070" s="820"/>
      <c r="M1070" s="821"/>
      <c r="N1070" s="801"/>
      <c r="O1070" s="822"/>
      <c r="P1070" s="822"/>
      <c r="Q1070" s="822"/>
      <c r="R1070" s="822"/>
      <c r="S1070" s="822"/>
      <c r="T1070" s="822"/>
      <c r="U1070" s="822"/>
      <c r="V1070" s="822"/>
      <c r="W1070" s="822"/>
      <c r="X1070" s="822"/>
      <c r="Y1070" s="823"/>
      <c r="Z1070" s="823"/>
      <c r="AA1070" s="823"/>
    </row>
    <row r="1071" spans="1:27" ht="15.75" thickBot="1" x14ac:dyDescent="0.3">
      <c r="A1071" s="1035">
        <v>1063</v>
      </c>
      <c r="B1071" s="1035" t="s">
        <v>61</v>
      </c>
      <c r="C1071" s="1035" t="s">
        <v>197</v>
      </c>
      <c r="D1071" s="1142" t="s">
        <v>1080</v>
      </c>
      <c r="E1071" s="1098" t="s">
        <v>360</v>
      </c>
      <c r="F1071" s="1143">
        <v>1</v>
      </c>
      <c r="G1071" s="1143">
        <f>IF(E1071=AIS_Yes,F1071,0)</f>
        <v>0</v>
      </c>
      <c r="H1071" s="1327" t="s">
        <v>16</v>
      </c>
      <c r="I1071" s="908"/>
      <c r="J1071" s="908"/>
      <c r="K1071" s="909"/>
      <c r="L1071" s="820"/>
      <c r="M1071" s="821"/>
      <c r="N1071" s="801"/>
      <c r="O1071" s="102" t="s">
        <v>1273</v>
      </c>
      <c r="P1071" s="822"/>
      <c r="Q1071" s="822"/>
      <c r="R1071" s="822"/>
      <c r="S1071" s="822"/>
      <c r="T1071" s="822"/>
      <c r="U1071" s="822" t="str">
        <f>$T$4</f>
        <v>No</v>
      </c>
      <c r="V1071" s="822"/>
      <c r="W1071" s="822"/>
      <c r="X1071" s="822"/>
      <c r="Y1071" s="823"/>
      <c r="Z1071" s="823"/>
      <c r="AA1071" s="823"/>
    </row>
    <row r="1072" spans="1:27" x14ac:dyDescent="0.25">
      <c r="A1072" s="1035">
        <v>1064</v>
      </c>
      <c r="B1072" s="1035" t="s">
        <v>61</v>
      </c>
      <c r="C1072" s="1035" t="s">
        <v>197</v>
      </c>
      <c r="I1072" s="908"/>
      <c r="J1072" s="908"/>
      <c r="K1072" s="909"/>
      <c r="L1072" s="820"/>
      <c r="M1072" s="821"/>
      <c r="N1072" s="801"/>
      <c r="O1072" s="822"/>
      <c r="P1072" s="822"/>
      <c r="Q1072" s="822"/>
      <c r="R1072" s="822"/>
      <c r="S1072" s="822"/>
      <c r="T1072" s="822"/>
      <c r="U1072" s="822"/>
      <c r="V1072" s="822"/>
      <c r="W1072" s="822"/>
      <c r="X1072" s="822"/>
      <c r="Y1072" s="823"/>
      <c r="Z1072" s="823"/>
      <c r="AA1072" s="823"/>
    </row>
    <row r="1073" spans="1:27" x14ac:dyDescent="0.25">
      <c r="A1073" s="1035">
        <v>1065</v>
      </c>
      <c r="B1073" s="1035" t="s">
        <v>61</v>
      </c>
      <c r="C1073" s="1035" t="s">
        <v>197</v>
      </c>
      <c r="D1073" s="1127" t="s">
        <v>356</v>
      </c>
      <c r="E1073" s="1128">
        <f>IF((G1068+G1071)&gt;E1064,E1064,G1068+G1071)</f>
        <v>0</v>
      </c>
      <c r="I1073" s="1029"/>
      <c r="J1073" s="908"/>
      <c r="K1073" s="909"/>
      <c r="L1073" s="820"/>
      <c r="M1073" s="821"/>
      <c r="N1073" s="801"/>
      <c r="O1073" s="822"/>
      <c r="P1073" s="822"/>
      <c r="Q1073" s="822"/>
      <c r="R1073" s="822"/>
      <c r="S1073" s="822"/>
      <c r="T1073" s="822"/>
      <c r="U1073" s="822"/>
      <c r="V1073" s="822"/>
      <c r="W1073" s="822"/>
      <c r="X1073" s="822"/>
      <c r="Y1073" s="823"/>
      <c r="Z1073" s="823"/>
      <c r="AA1073" s="823"/>
    </row>
    <row r="1074" spans="1:27" x14ac:dyDescent="0.25">
      <c r="A1074" s="1035">
        <v>1066</v>
      </c>
      <c r="B1074" s="1035" t="s">
        <v>61</v>
      </c>
      <c r="C1074" s="1035" t="s">
        <v>197</v>
      </c>
      <c r="D1074" s="1129" t="s">
        <v>86</v>
      </c>
      <c r="E1074" s="1130">
        <f>LE01_08</f>
        <v>0</v>
      </c>
      <c r="I1074" s="908"/>
      <c r="J1074" s="908"/>
      <c r="K1074" s="909"/>
      <c r="L1074" s="820"/>
      <c r="M1074" s="821"/>
      <c r="N1074" s="801"/>
      <c r="O1074" s="822"/>
      <c r="P1074" s="822"/>
      <c r="Q1074" s="822"/>
      <c r="R1074" s="822"/>
      <c r="S1074" s="822"/>
      <c r="T1074" s="822"/>
      <c r="U1074" s="822"/>
      <c r="V1074" s="822"/>
      <c r="W1074" s="822"/>
      <c r="X1074" s="822"/>
      <c r="Y1074" s="823"/>
      <c r="Z1074" s="823"/>
      <c r="AA1074" s="823"/>
    </row>
    <row r="1075" spans="1:27" x14ac:dyDescent="0.25">
      <c r="A1075" s="1035">
        <v>1067</v>
      </c>
      <c r="B1075" s="1035" t="s">
        <v>61</v>
      </c>
      <c r="C1075" s="1035" t="s">
        <v>197</v>
      </c>
      <c r="D1075" s="1131" t="s">
        <v>357</v>
      </c>
      <c r="E1075" s="1128" t="s">
        <v>16</v>
      </c>
      <c r="I1075" s="908"/>
      <c r="J1075" s="908"/>
      <c r="K1075" s="909"/>
      <c r="L1075" s="820"/>
      <c r="M1075" s="821"/>
      <c r="N1075" s="801"/>
      <c r="O1075" s="822"/>
      <c r="P1075" s="822"/>
      <c r="Q1075" s="822"/>
      <c r="R1075" s="822"/>
      <c r="S1075" s="822"/>
      <c r="T1075" s="822"/>
      <c r="U1075" s="822"/>
      <c r="V1075" s="822"/>
      <c r="W1075" s="822"/>
      <c r="X1075" s="822"/>
      <c r="Y1075" s="823"/>
      <c r="Z1075" s="823"/>
      <c r="AA1075" s="823"/>
    </row>
    <row r="1076" spans="1:27" x14ac:dyDescent="0.25">
      <c r="A1076" s="1035">
        <v>1068</v>
      </c>
      <c r="B1076" s="1035" t="s">
        <v>61</v>
      </c>
      <c r="C1076" s="1035" t="s">
        <v>197</v>
      </c>
      <c r="D1076" s="1132" t="s">
        <v>55</v>
      </c>
      <c r="E1076" s="1133" t="s">
        <v>16</v>
      </c>
      <c r="F1076" s="1134"/>
      <c r="G1076" s="1135"/>
      <c r="I1076" s="908"/>
      <c r="J1076" s="908"/>
      <c r="K1076" s="909"/>
      <c r="L1076" s="820"/>
      <c r="M1076" s="821"/>
      <c r="N1076" s="801"/>
      <c r="O1076" s="822"/>
      <c r="P1076" s="822"/>
      <c r="Q1076" s="822"/>
      <c r="R1076" s="822"/>
      <c r="S1076" s="822"/>
      <c r="T1076" s="822"/>
      <c r="U1076" s="822"/>
      <c r="V1076" s="822"/>
      <c r="W1076" s="822"/>
      <c r="X1076" s="822"/>
      <c r="Y1076" s="823"/>
      <c r="Z1076" s="823"/>
      <c r="AA1076" s="823"/>
    </row>
    <row r="1077" spans="1:27" x14ac:dyDescent="0.25">
      <c r="A1077" s="1035">
        <v>1069</v>
      </c>
      <c r="B1077" s="1035" t="s">
        <v>61</v>
      </c>
      <c r="C1077" s="1035" t="s">
        <v>197</v>
      </c>
      <c r="I1077" s="908"/>
      <c r="J1077" s="908"/>
      <c r="K1077" s="909"/>
      <c r="L1077" s="820"/>
      <c r="M1077" s="821"/>
      <c r="N1077" s="801"/>
      <c r="O1077" s="822"/>
      <c r="P1077" s="822"/>
      <c r="Q1077" s="822"/>
      <c r="R1077" s="822"/>
      <c r="S1077" s="822"/>
      <c r="T1077" s="822"/>
      <c r="U1077" s="822"/>
      <c r="V1077" s="822"/>
      <c r="W1077" s="822"/>
      <c r="X1077" s="822"/>
      <c r="Y1077" s="823"/>
      <c r="Z1077" s="823"/>
      <c r="AA1077" s="823"/>
    </row>
    <row r="1078" spans="1:27" x14ac:dyDescent="0.25">
      <c r="A1078" s="1035">
        <v>1070</v>
      </c>
      <c r="B1078" s="1035" t="s">
        <v>61</v>
      </c>
      <c r="C1078" s="1035" t="s">
        <v>197</v>
      </c>
      <c r="D1078" s="1136" t="s">
        <v>359</v>
      </c>
      <c r="E1078" s="1136" t="s">
        <v>977</v>
      </c>
      <c r="F1078" s="1136" t="str">
        <f>HLOOKUP(C1078,'Assessment References'!$H$512:$BG$513,2,FALSE)</f>
        <v/>
      </c>
      <c r="G1078" s="1137"/>
      <c r="H1078" s="1138"/>
      <c r="I1078" s="908"/>
      <c r="J1078" s="908"/>
      <c r="K1078" s="909"/>
      <c r="L1078" s="820"/>
      <c r="M1078" s="821"/>
      <c r="N1078" s="801"/>
      <c r="O1078" s="822"/>
      <c r="P1078" s="822"/>
      <c r="Q1078" s="822"/>
      <c r="R1078" s="822"/>
      <c r="S1078" s="822"/>
      <c r="T1078" s="822"/>
      <c r="U1078" s="822"/>
      <c r="V1078" s="822"/>
      <c r="W1078" s="822"/>
      <c r="X1078" s="822"/>
      <c r="Y1078" s="823"/>
      <c r="Z1078" s="823"/>
      <c r="AA1078" s="823"/>
    </row>
    <row r="1079" spans="1:27" x14ac:dyDescent="0.25">
      <c r="A1079" s="1035">
        <v>1071</v>
      </c>
      <c r="B1079" s="1035" t="s">
        <v>61</v>
      </c>
      <c r="C1079" s="1035" t="s">
        <v>197</v>
      </c>
      <c r="D1079" s="1363"/>
      <c r="E1079" s="1352"/>
      <c r="F1079" s="1352"/>
      <c r="G1079" s="1352"/>
      <c r="H1079" s="1353"/>
      <c r="I1079" s="908"/>
      <c r="J1079" s="908"/>
      <c r="K1079" s="909"/>
      <c r="L1079" s="820"/>
      <c r="M1079" s="821"/>
      <c r="N1079" s="801"/>
      <c r="O1079" s="822"/>
      <c r="P1079" s="822"/>
      <c r="Q1079" s="822"/>
      <c r="R1079" s="822"/>
      <c r="S1079" s="822"/>
      <c r="T1079" s="822"/>
      <c r="U1079" s="822"/>
      <c r="V1079" s="822"/>
      <c r="W1079" s="822"/>
      <c r="X1079" s="822"/>
      <c r="Y1079" s="823"/>
      <c r="Z1079" s="823"/>
      <c r="AA1079" s="823"/>
    </row>
    <row r="1080" spans="1:27" x14ac:dyDescent="0.25">
      <c r="A1080" s="1035">
        <v>1072</v>
      </c>
      <c r="B1080" s="1035" t="s">
        <v>61</v>
      </c>
      <c r="C1080" s="1035" t="s">
        <v>197</v>
      </c>
      <c r="D1080" s="1354"/>
      <c r="E1080" s="1355"/>
      <c r="F1080" s="1355"/>
      <c r="G1080" s="1355"/>
      <c r="H1080" s="1356"/>
      <c r="I1080" s="908"/>
      <c r="J1080" s="908"/>
      <c r="K1080" s="909"/>
      <c r="L1080" s="820"/>
      <c r="M1080" s="821"/>
      <c r="N1080" s="801"/>
      <c r="O1080" s="822"/>
      <c r="P1080" s="822"/>
      <c r="Q1080" s="822"/>
      <c r="R1080" s="822"/>
      <c r="S1080" s="822"/>
      <c r="T1080" s="822"/>
      <c r="U1080" s="822"/>
      <c r="V1080" s="822"/>
      <c r="W1080" s="822"/>
      <c r="X1080" s="822"/>
      <c r="Y1080" s="823"/>
      <c r="Z1080" s="823"/>
      <c r="AA1080" s="823"/>
    </row>
    <row r="1081" spans="1:27" x14ac:dyDescent="0.25">
      <c r="A1081" s="1035">
        <v>1073</v>
      </c>
      <c r="B1081" s="1035" t="s">
        <v>61</v>
      </c>
      <c r="C1081" s="1035" t="s">
        <v>197</v>
      </c>
      <c r="D1081" s="1354"/>
      <c r="E1081" s="1355"/>
      <c r="F1081" s="1355"/>
      <c r="G1081" s="1355"/>
      <c r="H1081" s="1356"/>
      <c r="I1081" s="908"/>
      <c r="J1081" s="908"/>
      <c r="K1081" s="909"/>
      <c r="L1081" s="820"/>
      <c r="M1081" s="821"/>
      <c r="N1081" s="801"/>
      <c r="O1081" s="822"/>
      <c r="P1081" s="822"/>
      <c r="Q1081" s="822"/>
      <c r="R1081" s="822"/>
      <c r="S1081" s="822"/>
      <c r="T1081" s="822"/>
      <c r="U1081" s="822"/>
      <c r="V1081" s="822"/>
      <c r="W1081" s="822"/>
      <c r="X1081" s="822"/>
      <c r="Y1081" s="823"/>
      <c r="Z1081" s="823"/>
      <c r="AA1081" s="823"/>
    </row>
    <row r="1082" spans="1:27" x14ac:dyDescent="0.25">
      <c r="A1082" s="1035">
        <v>1074</v>
      </c>
      <c r="B1082" s="1035" t="s">
        <v>61</v>
      </c>
      <c r="C1082" s="1035" t="s">
        <v>197</v>
      </c>
      <c r="D1082" s="1364"/>
      <c r="E1082" s="1358"/>
      <c r="F1082" s="1358"/>
      <c r="G1082" s="1358"/>
      <c r="H1082" s="1359"/>
      <c r="I1082" s="908"/>
      <c r="J1082" s="908"/>
      <c r="K1082" s="909"/>
      <c r="L1082" s="820"/>
      <c r="M1082" s="821"/>
      <c r="N1082" s="801"/>
      <c r="O1082" s="822"/>
      <c r="P1082" s="822"/>
      <c r="Q1082" s="822"/>
      <c r="R1082" s="822"/>
      <c r="S1082" s="822"/>
      <c r="T1082" s="822"/>
      <c r="U1082" s="822"/>
      <c r="V1082" s="822"/>
      <c r="W1082" s="822"/>
      <c r="X1082" s="822"/>
      <c r="Y1082" s="823"/>
      <c r="Z1082" s="823"/>
      <c r="AA1082" s="823"/>
    </row>
    <row r="1083" spans="1:27" ht="15.75" customHeight="1" x14ac:dyDescent="0.25">
      <c r="A1083" s="1035">
        <v>1075</v>
      </c>
      <c r="B1083" s="1035" t="s">
        <v>61</v>
      </c>
      <c r="C1083" s="1035" t="s">
        <v>197</v>
      </c>
      <c r="D1083" s="1364"/>
      <c r="E1083" s="1358"/>
      <c r="F1083" s="1358"/>
      <c r="G1083" s="1358"/>
      <c r="H1083" s="1359"/>
      <c r="I1083" s="908"/>
      <c r="J1083" s="908"/>
      <c r="K1083" s="909"/>
      <c r="L1083" s="820"/>
      <c r="M1083" s="821"/>
      <c r="N1083" s="801"/>
      <c r="O1083" s="822"/>
      <c r="P1083" s="822"/>
      <c r="Q1083" s="822"/>
      <c r="R1083" s="822"/>
      <c r="S1083" s="822"/>
      <c r="T1083" s="822"/>
      <c r="U1083" s="822"/>
      <c r="V1083" s="822"/>
      <c r="W1083" s="822"/>
      <c r="X1083" s="822"/>
      <c r="Y1083" s="823"/>
      <c r="Z1083" s="823"/>
      <c r="AA1083" s="823"/>
    </row>
    <row r="1084" spans="1:27" x14ac:dyDescent="0.25">
      <c r="A1084" s="1035">
        <v>1076</v>
      </c>
      <c r="B1084" s="1035" t="s">
        <v>61</v>
      </c>
      <c r="C1084" s="1035" t="s">
        <v>197</v>
      </c>
      <c r="D1084" s="1360"/>
      <c r="E1084" s="1361"/>
      <c r="F1084" s="1361"/>
      <c r="G1084" s="1361"/>
      <c r="H1084" s="1362"/>
      <c r="I1084" s="908"/>
      <c r="J1084" s="908"/>
      <c r="K1084" s="909"/>
      <c r="L1084" s="820"/>
      <c r="M1084" s="821"/>
      <c r="N1084" s="801"/>
      <c r="O1084" s="822"/>
      <c r="P1084" s="822"/>
      <c r="Q1084" s="822"/>
      <c r="R1084" s="822"/>
      <c r="S1084" s="822"/>
      <c r="T1084" s="822"/>
      <c r="U1084" s="822"/>
      <c r="V1084" s="822"/>
      <c r="W1084" s="822"/>
      <c r="X1084" s="822"/>
      <c r="Y1084" s="823"/>
      <c r="Z1084" s="823"/>
      <c r="AA1084" s="823"/>
    </row>
    <row r="1085" spans="1:27" ht="15.75" thickBot="1" x14ac:dyDescent="0.3">
      <c r="A1085" s="1035">
        <v>1077</v>
      </c>
      <c r="B1085" s="1035" t="s">
        <v>61</v>
      </c>
      <c r="C1085" s="1035" t="s">
        <v>197</v>
      </c>
      <c r="D1085" s="1196"/>
      <c r="E1085" s="1197"/>
      <c r="F1085" s="1197"/>
      <c r="G1085" s="1197"/>
      <c r="H1085" s="1197"/>
      <c r="I1085" s="908"/>
      <c r="J1085" s="908"/>
      <c r="K1085" s="909"/>
      <c r="L1085" s="820"/>
      <c r="M1085" s="821"/>
      <c r="N1085" s="801"/>
      <c r="O1085" s="822"/>
      <c r="P1085" s="822"/>
      <c r="Q1085" s="822"/>
      <c r="R1085" s="822"/>
      <c r="S1085" s="822"/>
      <c r="T1085" s="822"/>
      <c r="U1085" s="822"/>
      <c r="V1085" s="822"/>
      <c r="W1085" s="822"/>
      <c r="X1085" s="822"/>
      <c r="Y1085" s="823"/>
      <c r="Z1085" s="823"/>
      <c r="AA1085" s="823"/>
    </row>
    <row r="1086" spans="1:27" ht="15.75" thickBot="1" x14ac:dyDescent="0.3">
      <c r="A1086" s="1047">
        <v>1078</v>
      </c>
      <c r="B1086" s="1047" t="s">
        <v>61</v>
      </c>
      <c r="C1086" s="803" t="s">
        <v>198</v>
      </c>
      <c r="D1086" s="1103" t="s">
        <v>921</v>
      </c>
      <c r="E1086" s="1104"/>
      <c r="F1086" s="1104"/>
      <c r="G1086" s="1105"/>
      <c r="H1086" s="1105"/>
      <c r="I1086" s="915"/>
      <c r="J1086" s="915"/>
      <c r="K1086" s="909"/>
      <c r="L1086" s="804" t="str">
        <f>C1086</f>
        <v>LE 02</v>
      </c>
      <c r="M1086" s="821"/>
      <c r="N1086" s="801"/>
      <c r="O1086" s="822"/>
      <c r="P1086" s="822"/>
      <c r="Q1086" s="822"/>
      <c r="R1086" s="822"/>
      <c r="S1086" s="822"/>
      <c r="T1086" s="822"/>
      <c r="U1086" s="822"/>
      <c r="V1086" s="822"/>
      <c r="W1086" s="822"/>
      <c r="X1086" s="822"/>
      <c r="Y1086" s="823"/>
      <c r="Z1086" s="823"/>
      <c r="AA1086" s="823"/>
    </row>
    <row r="1087" spans="1:27" x14ac:dyDescent="0.25">
      <c r="A1087" s="1035">
        <v>1079</v>
      </c>
      <c r="B1087" s="1035" t="s">
        <v>61</v>
      </c>
      <c r="C1087" s="1035" t="s">
        <v>198</v>
      </c>
      <c r="D1087" s="1107" t="s">
        <v>17</v>
      </c>
      <c r="E1087" s="1108">
        <f>LE02_credits</f>
        <v>2</v>
      </c>
      <c r="F1087" s="1109"/>
      <c r="G1087" s="1110" t="s">
        <v>85</v>
      </c>
      <c r="H1087" s="1111">
        <f>LE02_07</f>
        <v>0.02</v>
      </c>
      <c r="I1087" s="908"/>
      <c r="J1087" s="908"/>
      <c r="K1087" s="909"/>
      <c r="L1087" s="916" t="s">
        <v>360</v>
      </c>
      <c r="M1087" s="821"/>
      <c r="N1087" s="801"/>
      <c r="O1087" s="822"/>
      <c r="P1087" s="822"/>
      <c r="Q1087" s="822"/>
      <c r="R1087" s="822"/>
      <c r="S1087" s="822"/>
      <c r="T1087" s="822"/>
      <c r="U1087" s="822"/>
      <c r="V1087" s="822"/>
      <c r="W1087" s="822"/>
      <c r="X1087" s="822"/>
      <c r="Y1087" s="823"/>
      <c r="Z1087" s="823"/>
      <c r="AA1087" s="823"/>
    </row>
    <row r="1088" spans="1:27" x14ac:dyDescent="0.25">
      <c r="A1088" s="1035">
        <v>1080</v>
      </c>
      <c r="B1088" s="1035" t="s">
        <v>61</v>
      </c>
      <c r="C1088" s="1035" t="s">
        <v>198</v>
      </c>
      <c r="D1088" s="1112" t="s">
        <v>349</v>
      </c>
      <c r="E1088" s="1113">
        <v>0</v>
      </c>
      <c r="F1088" s="1114"/>
      <c r="G1088" s="1115" t="s">
        <v>350</v>
      </c>
      <c r="H1088" s="1116" t="s">
        <v>15</v>
      </c>
      <c r="I1088" s="908"/>
      <c r="J1088" s="908"/>
      <c r="K1088" s="909"/>
      <c r="L1088" s="917" t="s">
        <v>552</v>
      </c>
      <c r="M1088" s="821"/>
      <c r="N1088" s="801"/>
      <c r="O1088" s="822"/>
      <c r="P1088" s="822"/>
      <c r="Q1088" s="822"/>
      <c r="R1088" s="822"/>
      <c r="S1088" s="822"/>
      <c r="T1088" s="822"/>
      <c r="U1088" s="822"/>
      <c r="V1088" s="822"/>
      <c r="W1088" s="822"/>
      <c r="X1088" s="822"/>
      <c r="Y1088" s="823"/>
      <c r="Z1088" s="823"/>
      <c r="AA1088" s="823"/>
    </row>
    <row r="1089" spans="1:27" ht="15.75" thickBot="1" x14ac:dyDescent="0.3">
      <c r="A1089" s="1035">
        <v>1081</v>
      </c>
      <c r="B1089" s="1035" t="s">
        <v>61</v>
      </c>
      <c r="C1089" s="1035" t="s">
        <v>198</v>
      </c>
      <c r="I1089" s="908"/>
      <c r="J1089" s="908"/>
      <c r="K1089" s="909"/>
      <c r="L1089" s="918" t="s">
        <v>553</v>
      </c>
      <c r="M1089" s="821"/>
      <c r="N1089" s="801"/>
      <c r="O1089" s="822"/>
      <c r="P1089" s="822"/>
      <c r="Q1089" s="822"/>
      <c r="R1089" s="822"/>
      <c r="S1089" s="822"/>
      <c r="T1089" s="822"/>
      <c r="U1089" s="822"/>
      <c r="V1089" s="822"/>
      <c r="W1089" s="822"/>
      <c r="X1089" s="822"/>
      <c r="Y1089" s="823"/>
      <c r="Z1089" s="823"/>
      <c r="AA1089" s="823"/>
    </row>
    <row r="1090" spans="1:27" ht="15.75" thickBot="1" x14ac:dyDescent="0.3">
      <c r="A1090" s="1035">
        <v>1082</v>
      </c>
      <c r="B1090" s="1035" t="s">
        <v>61</v>
      </c>
      <c r="C1090" s="1035" t="s">
        <v>198</v>
      </c>
      <c r="D1090" s="1117" t="s">
        <v>351</v>
      </c>
      <c r="E1090" s="1118" t="s">
        <v>352</v>
      </c>
      <c r="F1090" s="1118" t="s">
        <v>353</v>
      </c>
      <c r="G1090" s="1118" t="s">
        <v>354</v>
      </c>
      <c r="H1090" s="1118" t="s">
        <v>355</v>
      </c>
      <c r="I1090" s="908"/>
      <c r="J1090" s="908"/>
      <c r="K1090" s="909"/>
      <c r="L1090" s="889"/>
      <c r="M1090" s="821"/>
      <c r="N1090" s="801"/>
      <c r="O1090" s="822"/>
      <c r="P1090" s="822"/>
      <c r="Q1090" s="822"/>
      <c r="R1090" s="822"/>
      <c r="S1090" s="822"/>
      <c r="T1090" s="822"/>
      <c r="U1090" s="822"/>
      <c r="V1090" s="822"/>
      <c r="W1090" s="822"/>
      <c r="X1090" s="822"/>
      <c r="Y1090" s="823"/>
      <c r="Z1090" s="823"/>
      <c r="AA1090" s="823"/>
    </row>
    <row r="1091" spans="1:27" ht="15.75" thickBot="1" x14ac:dyDescent="0.3">
      <c r="A1091" s="1035">
        <v>1083</v>
      </c>
      <c r="B1091" s="1035" t="s">
        <v>61</v>
      </c>
      <c r="C1091" s="1035" t="s">
        <v>198</v>
      </c>
      <c r="D1091" s="1119" t="s">
        <v>1081</v>
      </c>
      <c r="E1091" s="1182" t="s">
        <v>360</v>
      </c>
      <c r="F1091" s="1143">
        <v>1</v>
      </c>
      <c r="G1091" s="1143">
        <f>IF(E1091=AIS_Yes,F1091,0)</f>
        <v>0</v>
      </c>
      <c r="H1091" s="1327" t="s">
        <v>16</v>
      </c>
      <c r="I1091" s="908"/>
      <c r="J1091" s="908"/>
      <c r="K1091" s="909"/>
      <c r="L1091" s="820"/>
      <c r="M1091" s="821"/>
      <c r="N1091" s="801"/>
      <c r="O1091" s="102" t="s">
        <v>1273</v>
      </c>
      <c r="P1091" s="822"/>
      <c r="Q1091" s="822"/>
      <c r="R1091" s="822"/>
      <c r="S1091" s="822"/>
      <c r="T1091" s="822"/>
      <c r="U1091" s="822" t="str">
        <f>$T$4</f>
        <v>No</v>
      </c>
      <c r="V1091" s="822"/>
      <c r="W1091" s="822"/>
      <c r="X1091" s="822"/>
      <c r="Y1091" s="823"/>
      <c r="Z1091" s="823"/>
      <c r="AA1091" s="823"/>
    </row>
    <row r="1092" spans="1:27" ht="15.75" thickBot="1" x14ac:dyDescent="0.3">
      <c r="A1092" s="1035">
        <v>1084</v>
      </c>
      <c r="B1092" s="1035" t="s">
        <v>61</v>
      </c>
      <c r="C1092" s="1035" t="s">
        <v>198</v>
      </c>
      <c r="D1092" s="1121" t="s">
        <v>475</v>
      </c>
      <c r="E1092" s="1101" t="s">
        <v>360</v>
      </c>
      <c r="I1092" s="908"/>
      <c r="J1092" s="908"/>
      <c r="K1092" s="909"/>
      <c r="L1092" s="820"/>
      <c r="M1092" s="821"/>
      <c r="N1092" s="801"/>
      <c r="O1092" s="102" t="s">
        <v>1273</v>
      </c>
      <c r="P1092" s="822"/>
      <c r="Q1092" s="822"/>
      <c r="R1092" s="822"/>
      <c r="S1092" s="822"/>
      <c r="T1092" s="822"/>
      <c r="U1092" s="822" t="str">
        <f>$T$4</f>
        <v>No</v>
      </c>
      <c r="V1092" s="822"/>
      <c r="W1092" s="822"/>
      <c r="X1092" s="822"/>
      <c r="Y1092" s="823"/>
      <c r="Z1092" s="823"/>
      <c r="AA1092" s="823"/>
    </row>
    <row r="1093" spans="1:27" ht="15.75" thickBot="1" x14ac:dyDescent="0.3">
      <c r="A1093" s="1035">
        <v>1085</v>
      </c>
      <c r="B1093" s="1035" t="s">
        <v>61</v>
      </c>
      <c r="C1093" s="1035" t="s">
        <v>198</v>
      </c>
      <c r="D1093" s="1123" t="s">
        <v>476</v>
      </c>
      <c r="E1093" s="1092" t="s">
        <v>360</v>
      </c>
      <c r="F1093" s="1143">
        <v>1</v>
      </c>
      <c r="G1093" s="1143">
        <f>IF(E1093=AIS_Yes,F1093,0)</f>
        <v>0</v>
      </c>
      <c r="H1093" s="1327" t="s">
        <v>16</v>
      </c>
      <c r="I1093" s="908"/>
      <c r="J1093" s="908"/>
      <c r="K1093" s="909"/>
      <c r="L1093" s="820"/>
      <c r="M1093" s="821"/>
      <c r="N1093" s="801"/>
      <c r="O1093" s="102" t="s">
        <v>1273</v>
      </c>
      <c r="P1093" s="822"/>
      <c r="Q1093" s="822"/>
      <c r="R1093" s="822"/>
      <c r="S1093" s="822"/>
      <c r="T1093" s="822"/>
      <c r="U1093" s="822" t="str">
        <f>$T$4</f>
        <v>No</v>
      </c>
      <c r="V1093" s="822"/>
      <c r="W1093" s="822"/>
      <c r="X1093" s="822"/>
      <c r="Y1093" s="823"/>
      <c r="Z1093" s="823"/>
      <c r="AA1093" s="823"/>
    </row>
    <row r="1094" spans="1:27" x14ac:dyDescent="0.25">
      <c r="A1094" s="1035">
        <v>1086</v>
      </c>
      <c r="B1094" s="1035" t="s">
        <v>61</v>
      </c>
      <c r="C1094" s="1035" t="s">
        <v>198</v>
      </c>
      <c r="I1094" s="908"/>
      <c r="J1094" s="908"/>
      <c r="K1094" s="909"/>
      <c r="L1094" s="820"/>
      <c r="M1094" s="821"/>
      <c r="N1094" s="801"/>
      <c r="O1094" s="822"/>
      <c r="P1094" s="822"/>
      <c r="Q1094" s="822"/>
      <c r="R1094" s="822"/>
      <c r="S1094" s="822"/>
      <c r="T1094" s="822"/>
      <c r="U1094" s="822"/>
      <c r="V1094" s="822"/>
      <c r="W1094" s="822"/>
      <c r="X1094" s="822"/>
      <c r="Y1094" s="823"/>
      <c r="Z1094" s="823"/>
      <c r="AA1094" s="823"/>
    </row>
    <row r="1095" spans="1:27" x14ac:dyDescent="0.25">
      <c r="A1095" s="1035">
        <v>1087</v>
      </c>
      <c r="B1095" s="1035" t="s">
        <v>61</v>
      </c>
      <c r="C1095" s="1035" t="s">
        <v>198</v>
      </c>
      <c r="D1095" s="1127" t="s">
        <v>356</v>
      </c>
      <c r="E1095" s="1128">
        <f>IF((G1091+G1093)&gt;E1087,E1087,G1091+G1093)</f>
        <v>0</v>
      </c>
      <c r="I1095" s="1029"/>
      <c r="J1095" s="908"/>
      <c r="K1095" s="909"/>
      <c r="L1095" s="820"/>
      <c r="M1095" s="821"/>
      <c r="N1095" s="801"/>
      <c r="O1095" s="822"/>
      <c r="P1095" s="822"/>
      <c r="Q1095" s="822"/>
      <c r="R1095" s="822"/>
      <c r="S1095" s="822"/>
      <c r="T1095" s="822"/>
      <c r="U1095" s="822"/>
      <c r="V1095" s="822"/>
      <c r="W1095" s="822"/>
      <c r="X1095" s="822"/>
      <c r="Y1095" s="823"/>
      <c r="Z1095" s="823"/>
      <c r="AA1095" s="823"/>
    </row>
    <row r="1096" spans="1:27" x14ac:dyDescent="0.25">
      <c r="A1096" s="1035">
        <v>1088</v>
      </c>
      <c r="B1096" s="1035" t="s">
        <v>61</v>
      </c>
      <c r="C1096" s="1035" t="s">
        <v>198</v>
      </c>
      <c r="D1096" s="1129" t="s">
        <v>86</v>
      </c>
      <c r="E1096" s="1130">
        <f>LE02_08</f>
        <v>0</v>
      </c>
      <c r="I1096" s="908"/>
      <c r="J1096" s="908"/>
      <c r="K1096" s="909"/>
      <c r="L1096" s="820"/>
      <c r="M1096" s="821"/>
      <c r="N1096" s="801"/>
      <c r="O1096" s="822"/>
      <c r="P1096" s="822"/>
      <c r="Q1096" s="822"/>
      <c r="R1096" s="822"/>
      <c r="S1096" s="822"/>
      <c r="T1096" s="822"/>
      <c r="U1096" s="822"/>
      <c r="V1096" s="822"/>
      <c r="W1096" s="822"/>
      <c r="X1096" s="822"/>
      <c r="Y1096" s="823"/>
      <c r="Z1096" s="823"/>
      <c r="AA1096" s="823"/>
    </row>
    <row r="1097" spans="1:27" x14ac:dyDescent="0.25">
      <c r="A1097" s="1035">
        <v>1089</v>
      </c>
      <c r="B1097" s="1035" t="s">
        <v>61</v>
      </c>
      <c r="C1097" s="1035" t="s">
        <v>198</v>
      </c>
      <c r="D1097" s="1131" t="s">
        <v>357</v>
      </c>
      <c r="E1097" s="1128" t="s">
        <v>16</v>
      </c>
      <c r="I1097" s="908"/>
      <c r="J1097" s="908"/>
      <c r="K1097" s="909"/>
      <c r="L1097" s="820"/>
      <c r="M1097" s="821"/>
      <c r="N1097" s="801"/>
      <c r="O1097" s="822"/>
      <c r="P1097" s="822"/>
      <c r="Q1097" s="822"/>
      <c r="R1097" s="822"/>
      <c r="S1097" s="822"/>
      <c r="T1097" s="822"/>
      <c r="U1097" s="822"/>
      <c r="V1097" s="822"/>
      <c r="W1097" s="822"/>
      <c r="X1097" s="822"/>
      <c r="Y1097" s="823"/>
      <c r="Z1097" s="823"/>
      <c r="AA1097" s="823"/>
    </row>
    <row r="1098" spans="1:27" x14ac:dyDescent="0.25">
      <c r="A1098" s="1035">
        <v>1090</v>
      </c>
      <c r="B1098" s="1035" t="s">
        <v>61</v>
      </c>
      <c r="C1098" s="1035" t="s">
        <v>198</v>
      </c>
      <c r="D1098" s="1132" t="s">
        <v>55</v>
      </c>
      <c r="E1098" s="1133" t="s">
        <v>16</v>
      </c>
      <c r="F1098" s="1134"/>
      <c r="G1098" s="1135"/>
      <c r="I1098" s="908"/>
      <c r="J1098" s="908"/>
      <c r="K1098" s="909"/>
      <c r="L1098" s="820"/>
      <c r="M1098" s="821"/>
      <c r="N1098" s="801"/>
      <c r="O1098" s="822"/>
      <c r="P1098" s="822"/>
      <c r="Q1098" s="822"/>
      <c r="R1098" s="822"/>
      <c r="S1098" s="822"/>
      <c r="T1098" s="822"/>
      <c r="U1098" s="822"/>
      <c r="V1098" s="822"/>
      <c r="W1098" s="822"/>
      <c r="X1098" s="822"/>
      <c r="Y1098" s="823"/>
      <c r="Z1098" s="823"/>
      <c r="AA1098" s="823"/>
    </row>
    <row r="1099" spans="1:27" x14ac:dyDescent="0.25">
      <c r="A1099" s="1035">
        <v>1091</v>
      </c>
      <c r="B1099" s="1035" t="s">
        <v>61</v>
      </c>
      <c r="C1099" s="1035" t="s">
        <v>198</v>
      </c>
      <c r="I1099" s="908"/>
      <c r="J1099" s="908"/>
      <c r="K1099" s="909"/>
      <c r="L1099" s="820"/>
      <c r="M1099" s="821"/>
      <c r="N1099" s="801"/>
      <c r="O1099" s="822"/>
      <c r="P1099" s="822"/>
      <c r="Q1099" s="822"/>
      <c r="R1099" s="822"/>
      <c r="S1099" s="822"/>
      <c r="T1099" s="822"/>
      <c r="U1099" s="822"/>
      <c r="V1099" s="822"/>
      <c r="W1099" s="822"/>
      <c r="X1099" s="822"/>
      <c r="Y1099" s="823"/>
      <c r="Z1099" s="823"/>
      <c r="AA1099" s="823"/>
    </row>
    <row r="1100" spans="1:27" x14ac:dyDescent="0.25">
      <c r="A1100" s="1035">
        <v>1092</v>
      </c>
      <c r="B1100" s="1035" t="s">
        <v>61</v>
      </c>
      <c r="C1100" s="1035" t="s">
        <v>198</v>
      </c>
      <c r="D1100" s="1136" t="s">
        <v>359</v>
      </c>
      <c r="E1100" s="1136" t="s">
        <v>977</v>
      </c>
      <c r="F1100" s="1136" t="str">
        <f>HLOOKUP(C1100,'Assessment References'!$H$512:$BG$513,2,FALSE)</f>
        <v/>
      </c>
      <c r="G1100" s="1137"/>
      <c r="H1100" s="1138"/>
      <c r="I1100" s="908"/>
      <c r="J1100" s="908"/>
      <c r="K1100" s="909"/>
      <c r="L1100" s="820"/>
      <c r="M1100" s="821"/>
      <c r="N1100" s="801"/>
      <c r="O1100" s="822"/>
      <c r="P1100" s="822"/>
      <c r="Q1100" s="822"/>
      <c r="R1100" s="822"/>
      <c r="S1100" s="822"/>
      <c r="T1100" s="822"/>
      <c r="U1100" s="822"/>
      <c r="V1100" s="822"/>
      <c r="W1100" s="822"/>
      <c r="X1100" s="822"/>
      <c r="Y1100" s="823"/>
      <c r="Z1100" s="823"/>
      <c r="AA1100" s="823"/>
    </row>
    <row r="1101" spans="1:27" x14ac:dyDescent="0.25">
      <c r="A1101" s="1035">
        <v>1093</v>
      </c>
      <c r="B1101" s="1035" t="s">
        <v>61</v>
      </c>
      <c r="C1101" s="1035" t="s">
        <v>198</v>
      </c>
      <c r="D1101" s="1363"/>
      <c r="E1101" s="1352"/>
      <c r="F1101" s="1352"/>
      <c r="G1101" s="1352"/>
      <c r="H1101" s="1353"/>
      <c r="I1101" s="908"/>
      <c r="J1101" s="908"/>
      <c r="K1101" s="909"/>
      <c r="L1101" s="820"/>
      <c r="M1101" s="821"/>
      <c r="N1101" s="801"/>
      <c r="O1101" s="822"/>
      <c r="P1101" s="822"/>
      <c r="Q1101" s="822"/>
      <c r="R1101" s="822"/>
      <c r="S1101" s="822"/>
      <c r="T1101" s="822"/>
      <c r="U1101" s="822"/>
      <c r="V1101" s="822"/>
      <c r="W1101" s="822"/>
      <c r="X1101" s="822"/>
      <c r="Y1101" s="823"/>
      <c r="Z1101" s="823"/>
      <c r="AA1101" s="823"/>
    </row>
    <row r="1102" spans="1:27" x14ac:dyDescent="0.25">
      <c r="A1102" s="1035">
        <v>1094</v>
      </c>
      <c r="B1102" s="1035" t="s">
        <v>61</v>
      </c>
      <c r="C1102" s="1035" t="s">
        <v>198</v>
      </c>
      <c r="D1102" s="1354"/>
      <c r="E1102" s="1355"/>
      <c r="F1102" s="1355"/>
      <c r="G1102" s="1355"/>
      <c r="H1102" s="1356"/>
      <c r="I1102" s="908"/>
      <c r="J1102" s="908"/>
      <c r="K1102" s="909"/>
      <c r="L1102" s="820"/>
      <c r="M1102" s="821"/>
      <c r="N1102" s="801"/>
      <c r="O1102" s="822"/>
      <c r="P1102" s="822"/>
      <c r="Q1102" s="822"/>
      <c r="R1102" s="822"/>
      <c r="S1102" s="822"/>
      <c r="T1102" s="822"/>
      <c r="U1102" s="822"/>
      <c r="V1102" s="822"/>
      <c r="W1102" s="822"/>
      <c r="X1102" s="822"/>
      <c r="Y1102" s="823"/>
      <c r="Z1102" s="823"/>
      <c r="AA1102" s="823"/>
    </row>
    <row r="1103" spans="1:27" x14ac:dyDescent="0.25">
      <c r="A1103" s="1035">
        <v>1095</v>
      </c>
      <c r="B1103" s="1035" t="s">
        <v>61</v>
      </c>
      <c r="C1103" s="1035" t="s">
        <v>198</v>
      </c>
      <c r="D1103" s="1354"/>
      <c r="E1103" s="1355"/>
      <c r="F1103" s="1355"/>
      <c r="G1103" s="1355"/>
      <c r="H1103" s="1356"/>
      <c r="I1103" s="908"/>
      <c r="J1103" s="908"/>
      <c r="K1103" s="909"/>
      <c r="L1103" s="820"/>
      <c r="M1103" s="821"/>
      <c r="N1103" s="801"/>
      <c r="O1103" s="822"/>
      <c r="P1103" s="822"/>
      <c r="Q1103" s="822"/>
      <c r="R1103" s="822"/>
      <c r="S1103" s="822"/>
      <c r="T1103" s="822"/>
      <c r="U1103" s="822"/>
      <c r="V1103" s="822"/>
      <c r="W1103" s="822"/>
      <c r="X1103" s="822"/>
      <c r="Y1103" s="823"/>
      <c r="Z1103" s="823"/>
      <c r="AA1103" s="823"/>
    </row>
    <row r="1104" spans="1:27" x14ac:dyDescent="0.25">
      <c r="A1104" s="1035">
        <v>1096</v>
      </c>
      <c r="B1104" s="1035" t="s">
        <v>61</v>
      </c>
      <c r="C1104" s="1035" t="s">
        <v>198</v>
      </c>
      <c r="D1104" s="1364"/>
      <c r="E1104" s="1358"/>
      <c r="F1104" s="1358"/>
      <c r="G1104" s="1358"/>
      <c r="H1104" s="1359"/>
      <c r="I1104" s="908"/>
      <c r="J1104" s="908"/>
      <c r="K1104" s="909"/>
      <c r="L1104" s="820"/>
      <c r="M1104" s="821"/>
      <c r="N1104" s="801"/>
      <c r="O1104" s="822"/>
      <c r="P1104" s="822"/>
      <c r="Q1104" s="822"/>
      <c r="R1104" s="822"/>
      <c r="S1104" s="822"/>
      <c r="T1104" s="822"/>
      <c r="U1104" s="822"/>
      <c r="V1104" s="822"/>
      <c r="W1104" s="822"/>
      <c r="X1104" s="822"/>
      <c r="Y1104" s="823"/>
      <c r="Z1104" s="823"/>
      <c r="AA1104" s="823"/>
    </row>
    <row r="1105" spans="1:27" x14ac:dyDescent="0.25">
      <c r="A1105" s="1035">
        <v>1097</v>
      </c>
      <c r="B1105" s="1035" t="s">
        <v>61</v>
      </c>
      <c r="C1105" s="1035" t="s">
        <v>198</v>
      </c>
      <c r="D1105" s="1364"/>
      <c r="E1105" s="1358"/>
      <c r="F1105" s="1358"/>
      <c r="G1105" s="1358"/>
      <c r="H1105" s="1359"/>
      <c r="I1105" s="908"/>
      <c r="J1105" s="908"/>
      <c r="K1105" s="909"/>
      <c r="L1105" s="820"/>
      <c r="M1105" s="821"/>
      <c r="N1105" s="801"/>
      <c r="O1105" s="822"/>
      <c r="P1105" s="822"/>
      <c r="Q1105" s="822"/>
      <c r="R1105" s="822"/>
      <c r="S1105" s="822"/>
      <c r="T1105" s="822"/>
      <c r="U1105" s="822"/>
      <c r="V1105" s="822"/>
      <c r="W1105" s="822"/>
      <c r="X1105" s="822"/>
      <c r="Y1105" s="823"/>
      <c r="Z1105" s="823"/>
      <c r="AA1105" s="823"/>
    </row>
    <row r="1106" spans="1:27" x14ac:dyDescent="0.25">
      <c r="A1106" s="1035">
        <v>1098</v>
      </c>
      <c r="B1106" s="1035" t="s">
        <v>61</v>
      </c>
      <c r="C1106" s="1035" t="s">
        <v>198</v>
      </c>
      <c r="D1106" s="1360"/>
      <c r="E1106" s="1361"/>
      <c r="F1106" s="1361"/>
      <c r="G1106" s="1361"/>
      <c r="H1106" s="1362"/>
      <c r="I1106" s="908"/>
      <c r="J1106" s="908"/>
      <c r="K1106" s="909"/>
      <c r="L1106" s="820"/>
      <c r="M1106" s="821"/>
      <c r="N1106" s="801"/>
      <c r="O1106" s="822"/>
      <c r="P1106" s="822"/>
      <c r="Q1106" s="822"/>
      <c r="R1106" s="822"/>
      <c r="S1106" s="822"/>
      <c r="T1106" s="822"/>
      <c r="U1106" s="822"/>
      <c r="V1106" s="822"/>
      <c r="W1106" s="822"/>
      <c r="X1106" s="822"/>
      <c r="Y1106" s="823"/>
      <c r="Z1106" s="823"/>
      <c r="AA1106" s="823"/>
    </row>
    <row r="1107" spans="1:27" ht="15.75" thickBot="1" x14ac:dyDescent="0.3">
      <c r="A1107" s="1035">
        <v>1099</v>
      </c>
      <c r="B1107" s="1035" t="s">
        <v>61</v>
      </c>
      <c r="C1107" s="1035" t="s">
        <v>198</v>
      </c>
      <c r="D1107" s="1196"/>
      <c r="E1107" s="1197"/>
      <c r="F1107" s="1197"/>
      <c r="G1107" s="1197"/>
      <c r="H1107" s="1197"/>
      <c r="I1107" s="908"/>
      <c r="J1107" s="908"/>
      <c r="K1107" s="909"/>
      <c r="L1107" s="820"/>
      <c r="M1107" s="821"/>
      <c r="N1107" s="801"/>
      <c r="O1107" s="822"/>
      <c r="P1107" s="822"/>
      <c r="Q1107" s="822"/>
      <c r="R1107" s="822"/>
      <c r="S1107" s="822"/>
      <c r="T1107" s="822"/>
      <c r="U1107" s="822"/>
      <c r="V1107" s="822"/>
      <c r="W1107" s="822"/>
      <c r="X1107" s="822"/>
      <c r="Y1107" s="823"/>
      <c r="Z1107" s="823"/>
      <c r="AA1107" s="823"/>
    </row>
    <row r="1108" spans="1:27" ht="15.75" thickBot="1" x14ac:dyDescent="0.3">
      <c r="A1108" s="1047">
        <v>1100</v>
      </c>
      <c r="B1108" s="1047" t="s">
        <v>61</v>
      </c>
      <c r="C1108" s="803" t="s">
        <v>199</v>
      </c>
      <c r="D1108" s="1103" t="s">
        <v>922</v>
      </c>
      <c r="E1108" s="1104"/>
      <c r="F1108" s="1104"/>
      <c r="G1108" s="1105"/>
      <c r="H1108" s="1105"/>
      <c r="I1108" s="915"/>
      <c r="J1108" s="915"/>
      <c r="K1108" s="909"/>
      <c r="L1108" s="804" t="str">
        <f>C1108</f>
        <v>LE 04</v>
      </c>
      <c r="M1108" s="821"/>
      <c r="N1108" s="801"/>
      <c r="O1108" s="822"/>
      <c r="P1108" s="822"/>
      <c r="Q1108" s="822"/>
      <c r="R1108" s="822"/>
      <c r="S1108" s="822"/>
      <c r="T1108" s="822"/>
      <c r="U1108" s="822"/>
      <c r="V1108" s="822"/>
      <c r="W1108" s="822"/>
      <c r="X1108" s="822"/>
      <c r="Y1108" s="823"/>
      <c r="Z1108" s="823"/>
      <c r="AA1108" s="823"/>
    </row>
    <row r="1109" spans="1:27" x14ac:dyDescent="0.25">
      <c r="A1109" s="1035">
        <v>1101</v>
      </c>
      <c r="B1109" s="1035" t="s">
        <v>61</v>
      </c>
      <c r="C1109" s="1035" t="s">
        <v>199</v>
      </c>
      <c r="D1109" s="1107" t="s">
        <v>17</v>
      </c>
      <c r="E1109" s="1108">
        <f>LE04_credits</f>
        <v>3</v>
      </c>
      <c r="F1109" s="1109"/>
      <c r="G1109" s="1110" t="s">
        <v>85</v>
      </c>
      <c r="H1109" s="1111">
        <f>LE04_13</f>
        <v>0.03</v>
      </c>
      <c r="I1109" s="908"/>
      <c r="J1109" s="908"/>
      <c r="K1109" s="909"/>
      <c r="L1109" s="820"/>
      <c r="M1109" s="821"/>
      <c r="N1109" s="801"/>
      <c r="O1109" s="822"/>
      <c r="P1109" s="822"/>
      <c r="Q1109" s="822"/>
      <c r="R1109" s="822"/>
      <c r="S1109" s="822"/>
      <c r="T1109" s="822"/>
      <c r="U1109" s="822"/>
      <c r="V1109" s="822"/>
      <c r="W1109" s="822"/>
      <c r="X1109" s="822"/>
      <c r="Y1109" s="823"/>
      <c r="Z1109" s="823"/>
      <c r="AA1109" s="823"/>
    </row>
    <row r="1110" spans="1:27" x14ac:dyDescent="0.25">
      <c r="A1110" s="1035">
        <v>1102</v>
      </c>
      <c r="B1110" s="1035" t="s">
        <v>61</v>
      </c>
      <c r="C1110" s="1035" t="s">
        <v>199</v>
      </c>
      <c r="D1110" s="1112" t="s">
        <v>349</v>
      </c>
      <c r="E1110" s="1113">
        <v>0</v>
      </c>
      <c r="F1110" s="1114"/>
      <c r="G1110" s="1115" t="s">
        <v>350</v>
      </c>
      <c r="H1110" s="1116" t="s">
        <v>15</v>
      </c>
      <c r="I1110" s="908"/>
      <c r="J1110" s="908"/>
      <c r="K1110" s="909"/>
      <c r="L1110" s="820"/>
      <c r="M1110" s="821"/>
      <c r="N1110" s="801"/>
      <c r="O1110" s="822"/>
      <c r="P1110" s="822"/>
      <c r="Q1110" s="822"/>
      <c r="R1110" s="822"/>
      <c r="S1110" s="822"/>
      <c r="T1110" s="822"/>
      <c r="U1110" s="822"/>
      <c r="V1110" s="822"/>
      <c r="W1110" s="822"/>
      <c r="X1110" s="822"/>
      <c r="Y1110" s="823"/>
      <c r="Z1110" s="823"/>
      <c r="AA1110" s="823"/>
    </row>
    <row r="1111" spans="1:27" x14ac:dyDescent="0.25">
      <c r="A1111" s="1035">
        <v>1103</v>
      </c>
      <c r="B1111" s="1035" t="s">
        <v>61</v>
      </c>
      <c r="C1111" s="1035" t="s">
        <v>199</v>
      </c>
      <c r="I1111" s="908"/>
      <c r="J1111" s="908"/>
      <c r="K1111" s="909"/>
      <c r="L1111" s="820"/>
      <c r="M1111" s="821"/>
      <c r="N1111" s="801"/>
      <c r="O1111" s="822"/>
      <c r="P1111" s="822"/>
      <c r="Q1111" s="822"/>
      <c r="R1111" s="822"/>
      <c r="S1111" s="822"/>
      <c r="T1111" s="822"/>
      <c r="U1111" s="822"/>
      <c r="V1111" s="822"/>
      <c r="W1111" s="822"/>
      <c r="X1111" s="822"/>
      <c r="Y1111" s="823"/>
      <c r="Z1111" s="823"/>
      <c r="AA1111" s="823"/>
    </row>
    <row r="1112" spans="1:27" ht="15.75" thickBot="1" x14ac:dyDescent="0.3">
      <c r="A1112" s="1035">
        <v>1104</v>
      </c>
      <c r="B1112" s="1035" t="s">
        <v>61</v>
      </c>
      <c r="C1112" s="1035" t="s">
        <v>199</v>
      </c>
      <c r="D1112" s="1117" t="s">
        <v>351</v>
      </c>
      <c r="E1112" s="1118" t="s">
        <v>352</v>
      </c>
      <c r="F1112" s="1118" t="s">
        <v>353</v>
      </c>
      <c r="G1112" s="1118" t="s">
        <v>354</v>
      </c>
      <c r="H1112" s="1118" t="s">
        <v>355</v>
      </c>
      <c r="I1112" s="908"/>
      <c r="J1112" s="908"/>
      <c r="K1112" s="909"/>
      <c r="L1112" s="820"/>
      <c r="M1112" s="821"/>
      <c r="N1112" s="801"/>
      <c r="O1112" s="822"/>
      <c r="P1112" s="822"/>
      <c r="Q1112" s="822"/>
      <c r="R1112" s="822"/>
      <c r="S1112" s="822"/>
      <c r="T1112" s="822"/>
      <c r="U1112" s="822"/>
      <c r="V1112" s="822"/>
      <c r="W1112" s="822"/>
      <c r="X1112" s="822"/>
      <c r="Y1112" s="823"/>
      <c r="Z1112" s="823"/>
      <c r="AA1112" s="823"/>
    </row>
    <row r="1113" spans="1:27" ht="15.75" thickBot="1" x14ac:dyDescent="0.3">
      <c r="A1113" s="1035">
        <v>1105</v>
      </c>
      <c r="B1113" s="1035" t="s">
        <v>61</v>
      </c>
      <c r="C1113" s="1035" t="s">
        <v>199</v>
      </c>
      <c r="D1113" s="1119" t="s">
        <v>477</v>
      </c>
      <c r="E1113" s="1093" t="s">
        <v>360</v>
      </c>
      <c r="F1113" s="1143">
        <f>E1109</f>
        <v>3</v>
      </c>
      <c r="G1113" s="1143">
        <f>IF(OR(E1113&lt;&gt;AIS_Yes,E1114=Options!Q3),0,IF(E1114&gt;=0.95,3,IF(E1114&gt;=0.75,2,IF(E1114&gt;=0.5,1,0))))</f>
        <v>0</v>
      </c>
      <c r="H1113" s="1327" t="s">
        <v>16</v>
      </c>
      <c r="I1113" s="908"/>
      <c r="J1113" s="908"/>
      <c r="K1113" s="909"/>
      <c r="L1113" s="820"/>
      <c r="M1113" s="821"/>
      <c r="N1113" s="801"/>
      <c r="O1113" s="102" t="s">
        <v>1273</v>
      </c>
      <c r="P1113" s="822"/>
      <c r="Q1113" s="822"/>
      <c r="R1113" s="822"/>
      <c r="S1113" s="822"/>
      <c r="T1113" s="822"/>
      <c r="U1113" s="822" t="str">
        <f>$T$4</f>
        <v>No</v>
      </c>
      <c r="V1113" s="822"/>
      <c r="W1113" s="822"/>
      <c r="X1113" s="822"/>
      <c r="Y1113" s="823"/>
      <c r="Z1113" s="823"/>
      <c r="AA1113" s="823"/>
    </row>
    <row r="1114" spans="1:27" ht="15.75" thickBot="1" x14ac:dyDescent="0.3">
      <c r="A1114" s="1035">
        <v>1106</v>
      </c>
      <c r="B1114" s="1035" t="s">
        <v>61</v>
      </c>
      <c r="C1114" s="1035" t="s">
        <v>199</v>
      </c>
      <c r="D1114" s="1123" t="s">
        <v>478</v>
      </c>
      <c r="E1114" s="1171" t="s">
        <v>545</v>
      </c>
      <c r="I1114" s="1029"/>
      <c r="K1114" s="909"/>
      <c r="L1114" s="820"/>
      <c r="M1114" s="821"/>
      <c r="N1114" s="801"/>
      <c r="O1114" s="822"/>
      <c r="P1114" s="822"/>
      <c r="Q1114" s="822"/>
      <c r="R1114" s="822"/>
      <c r="S1114" s="822"/>
      <c r="T1114" s="822"/>
      <c r="U1114" s="822"/>
      <c r="V1114" s="822"/>
      <c r="W1114" s="822"/>
      <c r="X1114" s="822"/>
      <c r="Y1114" s="823"/>
      <c r="Z1114" s="823"/>
      <c r="AA1114" s="823"/>
    </row>
    <row r="1115" spans="1:27" x14ac:dyDescent="0.25">
      <c r="A1115" s="1035">
        <v>1107</v>
      </c>
      <c r="B1115" s="1035" t="s">
        <v>61</v>
      </c>
      <c r="C1115" s="1035" t="s">
        <v>199</v>
      </c>
      <c r="I1115" s="908"/>
      <c r="J1115" s="908"/>
      <c r="K1115" s="909"/>
      <c r="L1115" s="820"/>
      <c r="M1115" s="821"/>
      <c r="N1115" s="801"/>
      <c r="O1115" s="822"/>
      <c r="P1115" s="822"/>
      <c r="Q1115" s="822"/>
      <c r="R1115" s="822"/>
      <c r="S1115" s="822"/>
      <c r="T1115" s="822"/>
      <c r="U1115" s="822"/>
      <c r="V1115" s="822"/>
      <c r="W1115" s="822"/>
      <c r="X1115" s="822"/>
      <c r="Y1115" s="823"/>
      <c r="Z1115" s="823"/>
      <c r="AA1115" s="823"/>
    </row>
    <row r="1116" spans="1:27" x14ac:dyDescent="0.25">
      <c r="A1116" s="1035">
        <v>1108</v>
      </c>
      <c r="B1116" s="1035" t="s">
        <v>61</v>
      </c>
      <c r="C1116" s="1035" t="s">
        <v>199</v>
      </c>
      <c r="D1116" s="1127" t="s">
        <v>356</v>
      </c>
      <c r="E1116" s="1128">
        <f>IF(G1113&gt;E1109,E1109,G1113)</f>
        <v>0</v>
      </c>
      <c r="I1116" s="1029"/>
      <c r="J1116" s="908"/>
      <c r="K1116" s="909"/>
      <c r="L1116" s="820"/>
      <c r="M1116" s="821"/>
      <c r="N1116" s="801"/>
      <c r="O1116" s="822"/>
      <c r="P1116" s="822"/>
      <c r="Q1116" s="822"/>
      <c r="R1116" s="822"/>
      <c r="S1116" s="822"/>
      <c r="T1116" s="822"/>
      <c r="U1116" s="822"/>
      <c r="V1116" s="822"/>
      <c r="W1116" s="822"/>
      <c r="X1116" s="822"/>
      <c r="Y1116" s="823"/>
      <c r="Z1116" s="823"/>
      <c r="AA1116" s="823"/>
    </row>
    <row r="1117" spans="1:27" x14ac:dyDescent="0.25">
      <c r="A1117" s="1035">
        <v>1109</v>
      </c>
      <c r="B1117" s="1035" t="s">
        <v>61</v>
      </c>
      <c r="C1117" s="1035" t="s">
        <v>199</v>
      </c>
      <c r="D1117" s="1129" t="s">
        <v>86</v>
      </c>
      <c r="E1117" s="1130">
        <f>LE04_14</f>
        <v>0</v>
      </c>
      <c r="I1117" s="908"/>
      <c r="J1117" s="908"/>
      <c r="K1117" s="909"/>
      <c r="L1117" s="820"/>
      <c r="M1117" s="821"/>
      <c r="N1117" s="801"/>
      <c r="O1117" s="822"/>
      <c r="P1117" s="822"/>
      <c r="Q1117" s="822"/>
      <c r="R1117" s="822"/>
      <c r="S1117" s="822"/>
      <c r="T1117" s="822"/>
      <c r="U1117" s="822"/>
      <c r="V1117" s="822"/>
      <c r="W1117" s="822"/>
      <c r="X1117" s="822"/>
      <c r="Y1117" s="823"/>
      <c r="Z1117" s="823"/>
      <c r="AA1117" s="823"/>
    </row>
    <row r="1118" spans="1:27" x14ac:dyDescent="0.25">
      <c r="A1118" s="1035">
        <v>1110</v>
      </c>
      <c r="B1118" s="1035" t="s">
        <v>61</v>
      </c>
      <c r="C1118" s="1035" t="s">
        <v>199</v>
      </c>
      <c r="D1118" s="1131" t="s">
        <v>357</v>
      </c>
      <c r="E1118" s="1128" t="s">
        <v>16</v>
      </c>
      <c r="I1118" s="908"/>
      <c r="J1118" s="908"/>
      <c r="K1118" s="909"/>
      <c r="L1118" s="820"/>
      <c r="M1118" s="821"/>
      <c r="N1118" s="801"/>
      <c r="O1118" s="822"/>
      <c r="P1118" s="822"/>
      <c r="Q1118" s="822"/>
      <c r="R1118" s="822"/>
      <c r="S1118" s="822"/>
      <c r="T1118" s="822"/>
      <c r="U1118" s="822"/>
      <c r="V1118" s="822"/>
      <c r="W1118" s="822"/>
      <c r="X1118" s="822"/>
      <c r="Y1118" s="823"/>
      <c r="Z1118" s="823"/>
      <c r="AA1118" s="823"/>
    </row>
    <row r="1119" spans="1:27" x14ac:dyDescent="0.25">
      <c r="A1119" s="1035">
        <v>1111</v>
      </c>
      <c r="B1119" s="1035" t="s">
        <v>61</v>
      </c>
      <c r="C1119" s="1035" t="s">
        <v>199</v>
      </c>
      <c r="D1119" s="1132" t="s">
        <v>55</v>
      </c>
      <c r="E1119" s="1133" t="s">
        <v>16</v>
      </c>
      <c r="F1119" s="1134"/>
      <c r="G1119" s="1135"/>
      <c r="I1119" s="908"/>
      <c r="J1119" s="908"/>
      <c r="K1119" s="909"/>
      <c r="L1119" s="820"/>
      <c r="M1119" s="821"/>
      <c r="N1119" s="801"/>
      <c r="O1119" s="822"/>
      <c r="P1119" s="822"/>
      <c r="Q1119" s="822"/>
      <c r="R1119" s="822"/>
      <c r="S1119" s="822"/>
      <c r="T1119" s="822"/>
      <c r="U1119" s="822"/>
      <c r="V1119" s="822"/>
      <c r="W1119" s="822"/>
      <c r="X1119" s="822"/>
      <c r="Y1119" s="823"/>
      <c r="Z1119" s="823"/>
      <c r="AA1119" s="823"/>
    </row>
    <row r="1120" spans="1:27" x14ac:dyDescent="0.25">
      <c r="A1120" s="1035">
        <v>1112</v>
      </c>
      <c r="B1120" s="1035" t="s">
        <v>61</v>
      </c>
      <c r="C1120" s="1035" t="s">
        <v>199</v>
      </c>
      <c r="I1120" s="908"/>
      <c r="J1120" s="908"/>
      <c r="K1120" s="909"/>
      <c r="L1120" s="820"/>
      <c r="M1120" s="821"/>
      <c r="N1120" s="801"/>
      <c r="O1120" s="822"/>
      <c r="P1120" s="822"/>
      <c r="Q1120" s="822"/>
      <c r="R1120" s="822"/>
      <c r="S1120" s="822"/>
      <c r="T1120" s="822"/>
      <c r="U1120" s="822"/>
      <c r="V1120" s="822"/>
      <c r="W1120" s="822"/>
      <c r="X1120" s="822"/>
      <c r="Y1120" s="823"/>
      <c r="Z1120" s="823"/>
      <c r="AA1120" s="823"/>
    </row>
    <row r="1121" spans="1:27" x14ac:dyDescent="0.25">
      <c r="A1121" s="1035">
        <v>1113</v>
      </c>
      <c r="B1121" s="1035" t="s">
        <v>61</v>
      </c>
      <c r="C1121" s="1035" t="s">
        <v>199</v>
      </c>
      <c r="D1121" s="1136" t="s">
        <v>359</v>
      </c>
      <c r="E1121" s="1136" t="s">
        <v>977</v>
      </c>
      <c r="F1121" s="1136" t="str">
        <f>HLOOKUP(C1121,'Assessment References'!$H$512:$BG$513,2,FALSE)</f>
        <v/>
      </c>
      <c r="G1121" s="1137"/>
      <c r="H1121" s="1138"/>
      <c r="I1121" s="824"/>
      <c r="J1121" s="824"/>
      <c r="K1121" s="825"/>
      <c r="L1121" s="820"/>
      <c r="M1121" s="821"/>
      <c r="N1121" s="801"/>
      <c r="O1121" s="822"/>
      <c r="P1121" s="822"/>
      <c r="Q1121" s="822"/>
      <c r="R1121" s="822"/>
      <c r="S1121" s="822"/>
      <c r="T1121" s="822"/>
      <c r="U1121" s="822"/>
      <c r="V1121" s="822"/>
      <c r="W1121" s="822"/>
      <c r="X1121" s="822"/>
      <c r="Y1121" s="823"/>
      <c r="Z1121" s="823"/>
      <c r="AA1121" s="823"/>
    </row>
    <row r="1122" spans="1:27" x14ac:dyDescent="0.25">
      <c r="A1122" s="1035">
        <v>1114</v>
      </c>
      <c r="B1122" s="1035" t="s">
        <v>61</v>
      </c>
      <c r="C1122" s="1035" t="s">
        <v>199</v>
      </c>
      <c r="D1122" s="1363"/>
      <c r="E1122" s="1352"/>
      <c r="F1122" s="1352"/>
      <c r="G1122" s="1352"/>
      <c r="H1122" s="1353"/>
      <c r="I1122" s="824"/>
      <c r="J1122" s="824"/>
      <c r="K1122" s="825"/>
      <c r="L1122" s="820"/>
      <c r="M1122" s="821"/>
      <c r="N1122" s="801"/>
      <c r="O1122" s="822"/>
      <c r="P1122" s="822"/>
      <c r="Q1122" s="822"/>
      <c r="R1122" s="822"/>
      <c r="S1122" s="822"/>
      <c r="T1122" s="822"/>
      <c r="U1122" s="822"/>
      <c r="V1122" s="822"/>
      <c r="W1122" s="822"/>
      <c r="X1122" s="822"/>
      <c r="Y1122" s="823"/>
      <c r="Z1122" s="823"/>
      <c r="AA1122" s="823"/>
    </row>
    <row r="1123" spans="1:27" x14ac:dyDescent="0.25">
      <c r="A1123" s="1035">
        <v>1115</v>
      </c>
      <c r="B1123" s="1035" t="s">
        <v>61</v>
      </c>
      <c r="C1123" s="1035" t="s">
        <v>199</v>
      </c>
      <c r="D1123" s="1354"/>
      <c r="E1123" s="1355"/>
      <c r="F1123" s="1355"/>
      <c r="G1123" s="1355"/>
      <c r="H1123" s="1356"/>
      <c r="I1123" s="824"/>
      <c r="J1123" s="824"/>
      <c r="K1123" s="825"/>
      <c r="L1123" s="820"/>
      <c r="M1123" s="821"/>
      <c r="N1123" s="801"/>
      <c r="O1123" s="822"/>
      <c r="P1123" s="822"/>
      <c r="Q1123" s="822"/>
      <c r="R1123" s="822"/>
      <c r="S1123" s="822"/>
      <c r="T1123" s="822"/>
      <c r="U1123" s="822"/>
      <c r="V1123" s="822"/>
      <c r="W1123" s="822"/>
      <c r="X1123" s="822"/>
      <c r="Y1123" s="823"/>
      <c r="Z1123" s="823"/>
      <c r="AA1123" s="823"/>
    </row>
    <row r="1124" spans="1:27" x14ac:dyDescent="0.25">
      <c r="A1124" s="1035">
        <v>1116</v>
      </c>
      <c r="B1124" s="1035" t="s">
        <v>61</v>
      </c>
      <c r="C1124" s="1035" t="s">
        <v>199</v>
      </c>
      <c r="D1124" s="1354"/>
      <c r="E1124" s="1355"/>
      <c r="F1124" s="1355"/>
      <c r="G1124" s="1355"/>
      <c r="H1124" s="1356"/>
      <c r="I1124" s="824"/>
      <c r="J1124" s="824"/>
      <c r="K1124" s="825"/>
      <c r="L1124" s="820"/>
      <c r="M1124" s="821"/>
      <c r="N1124" s="801"/>
      <c r="O1124" s="822"/>
      <c r="P1124" s="822"/>
      <c r="Q1124" s="822"/>
      <c r="R1124" s="822"/>
      <c r="S1124" s="822"/>
      <c r="T1124" s="822"/>
      <c r="U1124" s="822"/>
      <c r="V1124" s="822"/>
      <c r="W1124" s="822"/>
      <c r="X1124" s="822"/>
      <c r="Y1124" s="823"/>
      <c r="Z1124" s="823"/>
      <c r="AA1124" s="823"/>
    </row>
    <row r="1125" spans="1:27" x14ac:dyDescent="0.25">
      <c r="A1125" s="1035">
        <v>1117</v>
      </c>
      <c r="B1125" s="1035" t="s">
        <v>61</v>
      </c>
      <c r="C1125" s="1035" t="s">
        <v>199</v>
      </c>
      <c r="D1125" s="1364"/>
      <c r="E1125" s="1358"/>
      <c r="F1125" s="1358"/>
      <c r="G1125" s="1358"/>
      <c r="H1125" s="1359"/>
      <c r="I1125" s="824"/>
      <c r="J1125" s="824"/>
      <c r="K1125" s="825"/>
      <c r="L1125" s="820"/>
      <c r="M1125" s="821"/>
      <c r="N1125" s="801"/>
      <c r="O1125" s="822"/>
      <c r="P1125" s="822"/>
      <c r="Q1125" s="822"/>
      <c r="R1125" s="822"/>
      <c r="S1125" s="822"/>
      <c r="T1125" s="822"/>
      <c r="U1125" s="822"/>
      <c r="V1125" s="822"/>
      <c r="W1125" s="822"/>
      <c r="X1125" s="822"/>
      <c r="Y1125" s="823"/>
      <c r="Z1125" s="823"/>
      <c r="AA1125" s="823"/>
    </row>
    <row r="1126" spans="1:27" x14ac:dyDescent="0.25">
      <c r="A1126" s="1035">
        <v>1118</v>
      </c>
      <c r="B1126" s="1035" t="s">
        <v>61</v>
      </c>
      <c r="C1126" s="1035" t="s">
        <v>199</v>
      </c>
      <c r="D1126" s="1364"/>
      <c r="E1126" s="1358"/>
      <c r="F1126" s="1358"/>
      <c r="G1126" s="1358"/>
      <c r="H1126" s="1359"/>
      <c r="I1126" s="824"/>
      <c r="J1126" s="824"/>
      <c r="K1126" s="825"/>
      <c r="L1126" s="820"/>
      <c r="M1126" s="821"/>
      <c r="N1126" s="801"/>
      <c r="O1126" s="822"/>
      <c r="P1126" s="822"/>
      <c r="Q1126" s="822"/>
      <c r="R1126" s="822"/>
      <c r="S1126" s="822"/>
      <c r="T1126" s="822"/>
      <c r="U1126" s="822"/>
      <c r="V1126" s="822"/>
      <c r="W1126" s="822"/>
      <c r="X1126" s="822"/>
      <c r="Y1126" s="823"/>
      <c r="Z1126" s="823"/>
      <c r="AA1126" s="823"/>
    </row>
    <row r="1127" spans="1:27" x14ac:dyDescent="0.25">
      <c r="A1127" s="1035">
        <v>1119</v>
      </c>
      <c r="B1127" s="1035" t="s">
        <v>61</v>
      </c>
      <c r="C1127" s="1035" t="s">
        <v>199</v>
      </c>
      <c r="D1127" s="1360"/>
      <c r="E1127" s="1361"/>
      <c r="F1127" s="1361"/>
      <c r="G1127" s="1361"/>
      <c r="H1127" s="1362"/>
      <c r="I1127" s="824"/>
      <c r="J1127" s="824"/>
      <c r="K1127" s="825"/>
      <c r="L1127" s="820"/>
      <c r="M1127" s="821"/>
      <c r="N1127" s="801"/>
      <c r="O1127" s="822"/>
      <c r="P1127" s="822"/>
      <c r="Q1127" s="822"/>
      <c r="R1127" s="822"/>
      <c r="S1127" s="822"/>
      <c r="T1127" s="822"/>
      <c r="U1127" s="822"/>
      <c r="V1127" s="822"/>
      <c r="W1127" s="822"/>
      <c r="X1127" s="822"/>
      <c r="Y1127" s="823"/>
      <c r="Z1127" s="823"/>
      <c r="AA1127" s="823"/>
    </row>
    <row r="1128" spans="1:27" x14ac:dyDescent="0.25">
      <c r="A1128" s="1035">
        <v>1120</v>
      </c>
      <c r="B1128" s="1035" t="s">
        <v>61</v>
      </c>
      <c r="C1128" s="1035" t="s">
        <v>199</v>
      </c>
      <c r="D1128" s="1193"/>
      <c r="E1128" s="1193"/>
      <c r="F1128" s="1156"/>
      <c r="G1128" s="1156"/>
      <c r="H1128" s="1156"/>
      <c r="I1128" s="824"/>
      <c r="J1128" s="824"/>
      <c r="K1128" s="825"/>
      <c r="L1128" s="820"/>
      <c r="M1128" s="821"/>
      <c r="N1128" s="801"/>
      <c r="O1128" s="822"/>
      <c r="P1128" s="822"/>
      <c r="Q1128" s="822"/>
      <c r="R1128" s="822"/>
      <c r="S1128" s="822"/>
      <c r="T1128" s="822"/>
      <c r="U1128" s="822"/>
      <c r="V1128" s="822"/>
      <c r="W1128" s="822"/>
      <c r="X1128" s="822"/>
      <c r="Y1128" s="823"/>
      <c r="Z1128" s="823"/>
      <c r="AA1128" s="823"/>
    </row>
    <row r="1129" spans="1:27" ht="15.75" thickBot="1" x14ac:dyDescent="0.3">
      <c r="A1129" s="1047">
        <v>1121</v>
      </c>
      <c r="B1129" s="1047" t="s">
        <v>61</v>
      </c>
      <c r="C1129" s="803" t="s">
        <v>200</v>
      </c>
      <c r="D1129" s="1103" t="s">
        <v>923</v>
      </c>
      <c r="E1129" s="1104"/>
      <c r="F1129" s="1104"/>
      <c r="G1129" s="1105"/>
      <c r="H1129" s="1105"/>
      <c r="I1129" s="919"/>
      <c r="J1129" s="919"/>
      <c r="K1129" s="825"/>
      <c r="N1129" s="801"/>
      <c r="O1129" s="822"/>
      <c r="P1129" s="822"/>
      <c r="Q1129" s="822"/>
      <c r="R1129" s="822"/>
      <c r="S1129" s="822"/>
      <c r="T1129" s="822"/>
      <c r="U1129" s="822"/>
      <c r="V1129" s="822"/>
      <c r="W1129" s="822"/>
      <c r="X1129" s="822"/>
      <c r="Y1129" s="823"/>
      <c r="Z1129" s="823"/>
      <c r="AA1129" s="823"/>
    </row>
    <row r="1130" spans="1:27" ht="15.75" thickBot="1" x14ac:dyDescent="0.3">
      <c r="A1130" s="1035">
        <v>1122</v>
      </c>
      <c r="B1130" s="1035" t="s">
        <v>61</v>
      </c>
      <c r="C1130" s="1035" t="s">
        <v>200</v>
      </c>
      <c r="D1130" s="1107" t="s">
        <v>17</v>
      </c>
      <c r="E1130" s="1108">
        <f>LE05_credits</f>
        <v>2</v>
      </c>
      <c r="F1130" s="1109"/>
      <c r="G1130" s="1110" t="s">
        <v>85</v>
      </c>
      <c r="H1130" s="1111">
        <f>LE05_14</f>
        <v>0.02</v>
      </c>
      <c r="I1130" s="824"/>
      <c r="J1130" s="824"/>
      <c r="K1130" s="825"/>
      <c r="L1130" s="920" t="str">
        <f>C1129</f>
        <v>LE 05</v>
      </c>
      <c r="M1130" s="804" t="str">
        <f>C1129</f>
        <v>LE 05</v>
      </c>
      <c r="N1130" s="801"/>
      <c r="O1130" s="822"/>
      <c r="P1130" s="822"/>
      <c r="Q1130" s="822"/>
      <c r="R1130" s="822"/>
      <c r="S1130" s="822"/>
      <c r="T1130" s="822"/>
      <c r="U1130" s="822"/>
      <c r="V1130" s="822"/>
      <c r="W1130" s="822"/>
      <c r="X1130" s="822"/>
      <c r="Y1130" s="823"/>
      <c r="Z1130" s="823"/>
      <c r="AA1130" s="823"/>
    </row>
    <row r="1131" spans="1:27" ht="15.75" thickBot="1" x14ac:dyDescent="0.3">
      <c r="A1131" s="1035">
        <v>1123</v>
      </c>
      <c r="B1131" s="1035" t="s">
        <v>61</v>
      </c>
      <c r="C1131" s="1035" t="s">
        <v>200</v>
      </c>
      <c r="D1131" s="1112" t="s">
        <v>349</v>
      </c>
      <c r="E1131" s="1113">
        <v>0</v>
      </c>
      <c r="F1131" s="1114"/>
      <c r="G1131" s="1115" t="s">
        <v>350</v>
      </c>
      <c r="H1131" s="1116" t="s">
        <v>15</v>
      </c>
      <c r="I1131" s="824"/>
      <c r="J1131" s="824"/>
      <c r="K1131" s="825"/>
      <c r="L1131" s="921" t="s">
        <v>16</v>
      </c>
      <c r="M1131" s="922" t="s">
        <v>14</v>
      </c>
      <c r="N1131" s="801"/>
      <c r="O1131" s="822"/>
      <c r="P1131" s="822"/>
      <c r="Q1131" s="822"/>
      <c r="R1131" s="822"/>
      <c r="S1131" s="822"/>
      <c r="T1131" s="822"/>
      <c r="U1131" s="822"/>
      <c r="V1131" s="822"/>
      <c r="W1131" s="822"/>
      <c r="X1131" s="822"/>
      <c r="Y1131" s="823"/>
      <c r="Z1131" s="823"/>
      <c r="AA1131" s="823"/>
    </row>
    <row r="1132" spans="1:27" x14ac:dyDescent="0.25">
      <c r="A1132" s="1035">
        <v>1124</v>
      </c>
      <c r="B1132" s="1035" t="s">
        <v>61</v>
      </c>
      <c r="C1132" s="1035" t="s">
        <v>200</v>
      </c>
      <c r="I1132" s="824"/>
      <c r="J1132" s="824"/>
      <c r="K1132" s="825"/>
      <c r="L1132" s="923">
        <f t="shared" ref="L1132:L1137" si="75">IF(E1136=AIS_NA,1,0)</f>
        <v>0</v>
      </c>
      <c r="M1132" s="916">
        <f t="shared" ref="M1132:M1137" si="76">IF(E1136=AIS_Yes,1,0)</f>
        <v>0</v>
      </c>
      <c r="N1132" s="801"/>
      <c r="O1132" s="822"/>
      <c r="P1132" s="822"/>
      <c r="Q1132" s="822"/>
      <c r="R1132" s="822"/>
      <c r="S1132" s="822"/>
      <c r="T1132" s="822"/>
      <c r="U1132" s="822"/>
      <c r="V1132" s="822"/>
      <c r="W1132" s="822"/>
      <c r="X1132" s="822"/>
      <c r="Y1132" s="823"/>
      <c r="Z1132" s="823"/>
      <c r="AA1132" s="823"/>
    </row>
    <row r="1133" spans="1:27" ht="15.75" thickBot="1" x14ac:dyDescent="0.3">
      <c r="A1133" s="1035">
        <v>1125</v>
      </c>
      <c r="B1133" s="1035" t="s">
        <v>61</v>
      </c>
      <c r="C1133" s="1035" t="s">
        <v>200</v>
      </c>
      <c r="D1133" s="1117" t="s">
        <v>351</v>
      </c>
      <c r="E1133" s="1118" t="s">
        <v>352</v>
      </c>
      <c r="F1133" s="1118" t="s">
        <v>353</v>
      </c>
      <c r="G1133" s="1118" t="s">
        <v>354</v>
      </c>
      <c r="H1133" s="1118" t="s">
        <v>355</v>
      </c>
      <c r="I1133" s="824"/>
      <c r="J1133" s="824"/>
      <c r="K1133" s="825"/>
      <c r="L1133" s="924">
        <f t="shared" si="75"/>
        <v>0</v>
      </c>
      <c r="M1133" s="917">
        <f t="shared" si="76"/>
        <v>0</v>
      </c>
      <c r="N1133" s="801"/>
      <c r="O1133" s="822"/>
      <c r="P1133" s="822"/>
      <c r="Q1133" s="822"/>
      <c r="R1133" s="822"/>
      <c r="S1133" s="822"/>
      <c r="T1133" s="822"/>
      <c r="U1133" s="822"/>
      <c r="V1133" s="822"/>
      <c r="W1133" s="822"/>
      <c r="X1133" s="822"/>
      <c r="Y1133" s="823"/>
      <c r="Z1133" s="823"/>
      <c r="AA1133" s="823"/>
    </row>
    <row r="1134" spans="1:27" ht="15.75" thickBot="1" x14ac:dyDescent="0.3">
      <c r="A1134" s="1035">
        <v>1126</v>
      </c>
      <c r="B1134" s="1035" t="s">
        <v>61</v>
      </c>
      <c r="C1134" s="1035" t="s">
        <v>200</v>
      </c>
      <c r="D1134" s="1119" t="s">
        <v>1082</v>
      </c>
      <c r="E1134" s="1093" t="s">
        <v>360</v>
      </c>
      <c r="F1134" s="1143">
        <f>E1130</f>
        <v>2</v>
      </c>
      <c r="G1134" s="1143">
        <f>IF(I1134="",M1154,0)</f>
        <v>0</v>
      </c>
      <c r="H1134" s="1327" t="s">
        <v>16</v>
      </c>
      <c r="I1134" s="833" t="str">
        <f>IF(OR(E1134=AIS_No,E1134=AIS_PS,E1135=AIS_No,E1135=AIS_PS),"Pre-requisite: Please select yes","")</f>
        <v>Pre-requisite: Please select yes</v>
      </c>
      <c r="J1134" s="824"/>
      <c r="K1134" s="825"/>
      <c r="L1134" s="924">
        <f t="shared" si="75"/>
        <v>0</v>
      </c>
      <c r="M1134" s="917">
        <f t="shared" si="76"/>
        <v>0</v>
      </c>
      <c r="N1134" s="801"/>
      <c r="O1134" s="102" t="s">
        <v>1273</v>
      </c>
      <c r="P1134" s="822"/>
      <c r="Q1134" s="822"/>
      <c r="R1134" s="822"/>
      <c r="S1134" s="822"/>
      <c r="T1134" s="822"/>
      <c r="U1134" s="822" t="str">
        <f>$T$4</f>
        <v>No</v>
      </c>
      <c r="V1134" s="822"/>
      <c r="W1134" s="822"/>
      <c r="X1134" s="822"/>
      <c r="Y1134" s="823"/>
      <c r="Z1134" s="823"/>
      <c r="AA1134" s="823"/>
    </row>
    <row r="1135" spans="1:27" x14ac:dyDescent="0.25">
      <c r="A1135" s="1035">
        <v>1127</v>
      </c>
      <c r="B1135" s="1035"/>
      <c r="C1135" s="1035"/>
      <c r="D1135" s="1223" t="s">
        <v>1083</v>
      </c>
      <c r="E1135" s="1100" t="s">
        <v>360</v>
      </c>
      <c r="I1135" s="824"/>
      <c r="J1135" s="824"/>
      <c r="K1135" s="825"/>
      <c r="L1135" s="924">
        <f t="shared" si="75"/>
        <v>0</v>
      </c>
      <c r="M1135" s="917">
        <f t="shared" si="76"/>
        <v>0</v>
      </c>
      <c r="N1135" s="801"/>
      <c r="O1135" s="822"/>
      <c r="P1135" s="822"/>
      <c r="Q1135" s="822"/>
      <c r="R1135" s="822"/>
      <c r="S1135" s="822"/>
      <c r="T1135" s="822"/>
      <c r="U1135" s="822"/>
      <c r="V1135" s="822"/>
      <c r="W1135" s="822"/>
      <c r="X1135" s="822"/>
      <c r="Y1135" s="823"/>
      <c r="Z1135" s="823"/>
      <c r="AA1135" s="823"/>
    </row>
    <row r="1136" spans="1:27" x14ac:dyDescent="0.25">
      <c r="A1136" s="1035">
        <v>1128</v>
      </c>
      <c r="B1136" s="1035" t="s">
        <v>61</v>
      </c>
      <c r="C1136" s="1035" t="s">
        <v>200</v>
      </c>
      <c r="D1136" s="1121" t="s">
        <v>700</v>
      </c>
      <c r="E1136" s="1100" t="s">
        <v>360</v>
      </c>
      <c r="I1136" s="824"/>
      <c r="J1136" s="824"/>
      <c r="K1136" s="825"/>
      <c r="L1136" s="924">
        <f t="shared" si="75"/>
        <v>0</v>
      </c>
      <c r="M1136" s="917">
        <f t="shared" si="76"/>
        <v>0</v>
      </c>
      <c r="N1136" s="801"/>
      <c r="O1136" s="822"/>
      <c r="P1136" s="822"/>
      <c r="Q1136" s="822"/>
      <c r="R1136" s="822"/>
      <c r="S1136" s="822"/>
      <c r="T1136" s="822"/>
      <c r="U1136" s="822"/>
      <c r="V1136" s="822"/>
      <c r="W1136" s="822"/>
      <c r="X1136" s="822"/>
      <c r="Y1136" s="823"/>
      <c r="Z1136" s="823"/>
      <c r="AA1136" s="823"/>
    </row>
    <row r="1137" spans="1:27" ht="15.75" thickBot="1" x14ac:dyDescent="0.3">
      <c r="A1137" s="1035">
        <v>1129</v>
      </c>
      <c r="B1137" s="1035" t="s">
        <v>61</v>
      </c>
      <c r="C1137" s="1035" t="s">
        <v>200</v>
      </c>
      <c r="D1137" s="1121" t="s">
        <v>701</v>
      </c>
      <c r="E1137" s="1100" t="s">
        <v>360</v>
      </c>
      <c r="I1137" s="824"/>
      <c r="J1137" s="824"/>
      <c r="K1137" s="825"/>
      <c r="L1137" s="925">
        <f t="shared" si="75"/>
        <v>0</v>
      </c>
      <c r="M1137" s="918">
        <f t="shared" si="76"/>
        <v>0</v>
      </c>
      <c r="N1137" s="801"/>
      <c r="O1137" s="822"/>
      <c r="P1137" s="822"/>
      <c r="Q1137" s="822"/>
      <c r="R1137" s="822"/>
      <c r="S1137" s="822"/>
      <c r="T1137" s="822"/>
      <c r="U1137" s="822"/>
      <c r="V1137" s="822"/>
      <c r="W1137" s="822"/>
      <c r="X1137" s="822"/>
      <c r="Y1137" s="823"/>
      <c r="Z1137" s="823"/>
      <c r="AA1137" s="823"/>
    </row>
    <row r="1138" spans="1:27" ht="15.75" thickBot="1" x14ac:dyDescent="0.3">
      <c r="A1138" s="1035">
        <v>1130</v>
      </c>
      <c r="B1138" s="1035" t="s">
        <v>61</v>
      </c>
      <c r="C1138" s="1035" t="s">
        <v>200</v>
      </c>
      <c r="D1138" s="1121" t="s">
        <v>705</v>
      </c>
      <c r="E1138" s="1100" t="s">
        <v>360</v>
      </c>
      <c r="I1138" s="824"/>
      <c r="J1138" s="824"/>
      <c r="K1138" s="825"/>
      <c r="L1138" s="926">
        <f>SUM(L1132:L1137)</f>
        <v>0</v>
      </c>
      <c r="M1138" s="927">
        <f>SUM(M1132:M1137)</f>
        <v>0</v>
      </c>
      <c r="N1138" s="801"/>
      <c r="O1138" s="822"/>
      <c r="P1138" s="822"/>
      <c r="Q1138" s="822"/>
      <c r="R1138" s="822"/>
      <c r="S1138" s="822"/>
      <c r="T1138" s="822"/>
      <c r="U1138" s="822"/>
      <c r="V1138" s="822"/>
      <c r="W1138" s="822"/>
      <c r="X1138" s="822"/>
      <c r="Y1138" s="823"/>
      <c r="Z1138" s="823"/>
      <c r="AA1138" s="823"/>
    </row>
    <row r="1139" spans="1:27" ht="15.75" thickBot="1" x14ac:dyDescent="0.3">
      <c r="A1139" s="1035">
        <v>1131</v>
      </c>
      <c r="B1139" s="1035" t="s">
        <v>61</v>
      </c>
      <c r="C1139" s="1035" t="s">
        <v>200</v>
      </c>
      <c r="D1139" s="1121" t="s">
        <v>702</v>
      </c>
      <c r="E1139" s="1100" t="s">
        <v>360</v>
      </c>
      <c r="I1139" s="824"/>
      <c r="J1139" s="824"/>
      <c r="K1139" s="825"/>
      <c r="L1139" s="928"/>
      <c r="M1139" s="929"/>
      <c r="N1139" s="801"/>
      <c r="O1139" s="822"/>
      <c r="P1139" s="822"/>
      <c r="Q1139" s="822"/>
      <c r="R1139" s="822"/>
      <c r="S1139" s="822"/>
      <c r="T1139" s="822"/>
      <c r="U1139" s="822"/>
      <c r="V1139" s="822"/>
      <c r="W1139" s="822"/>
      <c r="X1139" s="822"/>
      <c r="Y1139" s="823"/>
      <c r="Z1139" s="823"/>
      <c r="AA1139" s="823"/>
    </row>
    <row r="1140" spans="1:27" ht="15.75" thickBot="1" x14ac:dyDescent="0.3">
      <c r="A1140" s="1035">
        <v>1132</v>
      </c>
      <c r="B1140" s="1035" t="s">
        <v>61</v>
      </c>
      <c r="C1140" s="1035" t="s">
        <v>200</v>
      </c>
      <c r="D1140" s="1121" t="s">
        <v>703</v>
      </c>
      <c r="E1140" s="1100" t="s">
        <v>360</v>
      </c>
      <c r="I1140" s="824"/>
      <c r="J1140" s="824"/>
      <c r="K1140" s="825"/>
      <c r="L1140" s="922" t="s">
        <v>1140</v>
      </c>
      <c r="M1140" s="929"/>
      <c r="N1140" s="801"/>
      <c r="O1140" s="822"/>
      <c r="P1140" s="822"/>
      <c r="Q1140" s="822"/>
      <c r="R1140" s="822"/>
      <c r="S1140" s="822"/>
      <c r="T1140" s="822"/>
      <c r="U1140" s="822"/>
      <c r="V1140" s="822"/>
      <c r="W1140" s="822"/>
      <c r="X1140" s="822"/>
      <c r="Y1140" s="823"/>
      <c r="Z1140" s="823"/>
      <c r="AA1140" s="823"/>
    </row>
    <row r="1141" spans="1:27" ht="15.75" thickBot="1" x14ac:dyDescent="0.3">
      <c r="A1141" s="1035">
        <v>1133</v>
      </c>
      <c r="B1141" s="1035" t="s">
        <v>61</v>
      </c>
      <c r="C1141" s="1035" t="s">
        <v>200</v>
      </c>
      <c r="D1141" s="1123" t="s">
        <v>704</v>
      </c>
      <c r="E1141" s="1092" t="s">
        <v>360</v>
      </c>
      <c r="I1141" s="824"/>
      <c r="J1141" s="824"/>
      <c r="K1141" s="825"/>
      <c r="L1141" s="916">
        <f t="shared" ref="L1141:L1146" si="77">IF(OR(E1136=AIS_No,E1136=AIS_PS),1,0)</f>
        <v>1</v>
      </c>
      <c r="M1141" s="929"/>
      <c r="N1141" s="801"/>
      <c r="O1141" s="822"/>
      <c r="P1141" s="822"/>
      <c r="Q1141" s="822"/>
      <c r="R1141" s="822"/>
      <c r="S1141" s="822"/>
      <c r="T1141" s="822"/>
      <c r="U1141" s="822"/>
      <c r="V1141" s="822"/>
      <c r="W1141" s="822"/>
      <c r="X1141" s="822"/>
      <c r="Y1141" s="823"/>
      <c r="Z1141" s="823"/>
      <c r="AA1141" s="823"/>
    </row>
    <row r="1142" spans="1:27" x14ac:dyDescent="0.25">
      <c r="A1142" s="1035">
        <v>1134</v>
      </c>
      <c r="B1142" s="1035" t="s">
        <v>61</v>
      </c>
      <c r="C1142" s="1035" t="s">
        <v>200</v>
      </c>
      <c r="I1142" s="824"/>
      <c r="J1142" s="824"/>
      <c r="K1142" s="825"/>
      <c r="L1142" s="917">
        <f t="shared" si="77"/>
        <v>1</v>
      </c>
      <c r="M1142" s="929"/>
      <c r="N1142" s="801"/>
      <c r="O1142" s="822"/>
      <c r="P1142" s="822"/>
      <c r="Q1142" s="822"/>
      <c r="R1142" s="822"/>
      <c r="S1142" s="822"/>
      <c r="T1142" s="822"/>
      <c r="U1142" s="822"/>
      <c r="V1142" s="822"/>
      <c r="W1142" s="822"/>
      <c r="X1142" s="822"/>
      <c r="Y1142" s="823"/>
      <c r="Z1142" s="823"/>
      <c r="AA1142" s="823"/>
    </row>
    <row r="1143" spans="1:27" x14ac:dyDescent="0.25">
      <c r="A1143" s="1035">
        <v>1135</v>
      </c>
      <c r="B1143" s="1035" t="s">
        <v>61</v>
      </c>
      <c r="C1143" s="1035" t="s">
        <v>200</v>
      </c>
      <c r="D1143" s="1127" t="s">
        <v>356</v>
      </c>
      <c r="E1143" s="1128">
        <f>IF(G1134&gt;E1130,E1130,G1134)</f>
        <v>0</v>
      </c>
      <c r="I1143" s="1029"/>
      <c r="J1143" s="824"/>
      <c r="K1143" s="825"/>
      <c r="L1143" s="917">
        <f t="shared" si="77"/>
        <v>1</v>
      </c>
      <c r="M1143" s="929"/>
      <c r="N1143" s="801"/>
      <c r="O1143" s="822"/>
      <c r="P1143" s="822"/>
      <c r="Q1143" s="822"/>
      <c r="R1143" s="822"/>
      <c r="S1143" s="822"/>
      <c r="T1143" s="822"/>
      <c r="U1143" s="822"/>
      <c r="V1143" s="822"/>
      <c r="W1143" s="822"/>
      <c r="X1143" s="822"/>
      <c r="Y1143" s="823"/>
      <c r="Z1143" s="823"/>
      <c r="AA1143" s="823"/>
    </row>
    <row r="1144" spans="1:27" x14ac:dyDescent="0.25">
      <c r="A1144" s="1035">
        <v>1136</v>
      </c>
      <c r="B1144" s="1035" t="s">
        <v>61</v>
      </c>
      <c r="C1144" s="1035" t="s">
        <v>200</v>
      </c>
      <c r="D1144" s="1129" t="s">
        <v>86</v>
      </c>
      <c r="E1144" s="1130">
        <f>LE05_15</f>
        <v>0</v>
      </c>
      <c r="I1144" s="824"/>
      <c r="J1144" s="824"/>
      <c r="K1144" s="825"/>
      <c r="L1144" s="917">
        <f t="shared" si="77"/>
        <v>1</v>
      </c>
      <c r="M1144" s="929"/>
      <c r="N1144" s="801"/>
      <c r="O1144" s="822"/>
      <c r="R1144" s="822"/>
      <c r="S1144" s="822"/>
      <c r="T1144" s="822"/>
      <c r="U1144" s="822"/>
      <c r="V1144" s="822"/>
      <c r="W1144" s="822"/>
      <c r="X1144" s="822"/>
      <c r="Y1144" s="823"/>
      <c r="Z1144" s="823"/>
      <c r="AA1144" s="823"/>
    </row>
    <row r="1145" spans="1:27" x14ac:dyDescent="0.25">
      <c r="A1145" s="1035">
        <v>1137</v>
      </c>
      <c r="B1145" s="1035" t="s">
        <v>61</v>
      </c>
      <c r="C1145" s="1035" t="s">
        <v>200</v>
      </c>
      <c r="D1145" s="1131" t="s">
        <v>357</v>
      </c>
      <c r="E1145" s="1128" t="s">
        <v>16</v>
      </c>
      <c r="I1145" s="824"/>
      <c r="J1145" s="824"/>
      <c r="K1145" s="825"/>
      <c r="L1145" s="917">
        <f t="shared" si="77"/>
        <v>1</v>
      </c>
      <c r="M1145" s="929"/>
      <c r="N1145" s="801"/>
      <c r="O1145" s="822"/>
      <c r="R1145" s="822"/>
      <c r="S1145" s="822"/>
      <c r="T1145" s="822"/>
      <c r="U1145" s="822"/>
      <c r="V1145" s="822"/>
      <c r="W1145" s="822"/>
      <c r="X1145" s="822"/>
      <c r="Y1145" s="823"/>
      <c r="Z1145" s="823"/>
      <c r="AA1145" s="823"/>
    </row>
    <row r="1146" spans="1:27" ht="15.75" thickBot="1" x14ac:dyDescent="0.3">
      <c r="A1146" s="1035">
        <v>1138</v>
      </c>
      <c r="B1146" s="1035" t="s">
        <v>61</v>
      </c>
      <c r="C1146" s="1035" t="s">
        <v>200</v>
      </c>
      <c r="D1146" s="1132" t="s">
        <v>55</v>
      </c>
      <c r="E1146" s="1133" t="s">
        <v>16</v>
      </c>
      <c r="F1146" s="1134"/>
      <c r="G1146" s="1135"/>
      <c r="I1146" s="824"/>
      <c r="J1146" s="824"/>
      <c r="K1146" s="825"/>
      <c r="L1146" s="918">
        <f t="shared" si="77"/>
        <v>1</v>
      </c>
      <c r="M1146" s="929"/>
      <c r="N1146" s="801"/>
      <c r="O1146" s="822"/>
      <c r="R1146" s="822"/>
      <c r="S1146" s="822"/>
      <c r="T1146" s="822"/>
      <c r="U1146" s="822"/>
      <c r="V1146" s="822"/>
      <c r="W1146" s="822"/>
      <c r="X1146" s="822"/>
      <c r="Y1146" s="823"/>
      <c r="Z1146" s="823"/>
      <c r="AA1146" s="823"/>
    </row>
    <row r="1147" spans="1:27" ht="15.75" thickBot="1" x14ac:dyDescent="0.3">
      <c r="A1147" s="1035">
        <v>1139</v>
      </c>
      <c r="B1147" s="1035" t="s">
        <v>61</v>
      </c>
      <c r="C1147" s="1035" t="s">
        <v>200</v>
      </c>
      <c r="I1147" s="824"/>
      <c r="J1147" s="824"/>
      <c r="K1147" s="825"/>
      <c r="L1147" s="927">
        <f>SUM(L1141:L1146)</f>
        <v>6</v>
      </c>
      <c r="M1147" s="929"/>
      <c r="N1147" s="801"/>
      <c r="O1147" s="822"/>
      <c r="R1147" s="822"/>
      <c r="S1147" s="822"/>
      <c r="T1147" s="822"/>
      <c r="U1147" s="822"/>
      <c r="V1147" s="822"/>
      <c r="W1147" s="822"/>
      <c r="X1147" s="822"/>
      <c r="Y1147" s="823"/>
      <c r="Z1147" s="823"/>
      <c r="AA1147" s="823"/>
    </row>
    <row r="1148" spans="1:27" ht="15.75" thickBot="1" x14ac:dyDescent="0.3">
      <c r="A1148" s="1035">
        <v>1140</v>
      </c>
      <c r="B1148" s="1035" t="s">
        <v>61</v>
      </c>
      <c r="C1148" s="1035" t="s">
        <v>200</v>
      </c>
      <c r="D1148" s="1136" t="s">
        <v>359</v>
      </c>
      <c r="E1148" s="1136" t="s">
        <v>977</v>
      </c>
      <c r="F1148" s="1136" t="str">
        <f>HLOOKUP(C1148,'Assessment References'!$H$512:$BG$513,2,FALSE)</f>
        <v/>
      </c>
      <c r="G1148" s="1137"/>
      <c r="H1148" s="1138"/>
      <c r="I1148" s="824"/>
      <c r="J1148" s="824"/>
      <c r="K1148" s="825"/>
      <c r="L1148" s="894"/>
      <c r="M1148" s="894"/>
      <c r="N1148" s="801"/>
      <c r="O1148" s="822"/>
      <c r="R1148" s="822"/>
      <c r="S1148" s="822"/>
      <c r="T1148" s="822"/>
      <c r="U1148" s="822"/>
      <c r="V1148" s="822"/>
      <c r="W1148" s="822"/>
      <c r="X1148" s="822"/>
      <c r="Y1148" s="823"/>
      <c r="Z1148" s="823"/>
      <c r="AA1148" s="823"/>
    </row>
    <row r="1149" spans="1:27" x14ac:dyDescent="0.25">
      <c r="A1149" s="1035">
        <v>1141</v>
      </c>
      <c r="B1149" s="1035" t="s">
        <v>61</v>
      </c>
      <c r="C1149" s="1035" t="s">
        <v>200</v>
      </c>
      <c r="D1149" s="1363"/>
      <c r="E1149" s="1352"/>
      <c r="F1149" s="1352"/>
      <c r="G1149" s="1352"/>
      <c r="H1149" s="1353"/>
      <c r="I1149" s="824"/>
      <c r="J1149" s="824"/>
      <c r="K1149" s="825"/>
      <c r="L1149" s="930" t="s">
        <v>706</v>
      </c>
      <c r="M1149" s="931">
        <f>IF(M1138&gt;3,2,IF(M1138&gt;1,1,0))</f>
        <v>0</v>
      </c>
      <c r="N1149" s="801"/>
      <c r="O1149" s="822"/>
      <c r="R1149" s="822"/>
      <c r="S1149" s="822"/>
      <c r="T1149" s="822"/>
      <c r="U1149" s="822"/>
      <c r="V1149" s="822"/>
      <c r="W1149" s="822"/>
      <c r="X1149" s="822"/>
      <c r="Y1149" s="823"/>
      <c r="Z1149" s="823"/>
      <c r="AA1149" s="823"/>
    </row>
    <row r="1150" spans="1:27" x14ac:dyDescent="0.25">
      <c r="A1150" s="1035">
        <v>1142</v>
      </c>
      <c r="B1150" s="1035" t="s">
        <v>61</v>
      </c>
      <c r="C1150" s="1035" t="s">
        <v>200</v>
      </c>
      <c r="D1150" s="1354"/>
      <c r="E1150" s="1355"/>
      <c r="F1150" s="1355"/>
      <c r="G1150" s="1355"/>
      <c r="H1150" s="1356"/>
      <c r="I1150" s="824"/>
      <c r="J1150" s="824"/>
      <c r="K1150" s="825"/>
      <c r="L1150" s="932" t="s">
        <v>707</v>
      </c>
      <c r="M1150" s="933">
        <f>IF(AND(L1138=5,M1138=1),2,0)</f>
        <v>0</v>
      </c>
      <c r="N1150" s="801"/>
      <c r="O1150" s="822"/>
      <c r="R1150" s="822"/>
      <c r="S1150" s="822"/>
      <c r="T1150" s="822"/>
      <c r="U1150" s="822"/>
      <c r="V1150" s="822"/>
      <c r="W1150" s="822"/>
      <c r="X1150" s="822"/>
      <c r="Y1150" s="823"/>
      <c r="Z1150" s="823"/>
      <c r="AA1150" s="823"/>
    </row>
    <row r="1151" spans="1:27" x14ac:dyDescent="0.25">
      <c r="A1151" s="1035">
        <v>1143</v>
      </c>
      <c r="B1151" s="1035" t="s">
        <v>61</v>
      </c>
      <c r="C1151" s="1035" t="s">
        <v>200</v>
      </c>
      <c r="D1151" s="1354"/>
      <c r="E1151" s="1355"/>
      <c r="F1151" s="1355"/>
      <c r="G1151" s="1355"/>
      <c r="H1151" s="1356"/>
      <c r="I1151" s="824"/>
      <c r="J1151" s="824"/>
      <c r="K1151" s="825"/>
      <c r="L1151" s="932" t="s">
        <v>1085</v>
      </c>
      <c r="M1151" s="933">
        <f>IF(AND(L1138=4,M1138=2),2,0)</f>
        <v>0</v>
      </c>
      <c r="N1151" s="801"/>
      <c r="O1151" s="822"/>
      <c r="R1151" s="822"/>
      <c r="S1151" s="822"/>
      <c r="T1151" s="822"/>
      <c r="U1151" s="822"/>
      <c r="V1151" s="822"/>
      <c r="W1151" s="822"/>
      <c r="X1151" s="822"/>
      <c r="Y1151" s="823"/>
      <c r="Z1151" s="823"/>
      <c r="AA1151" s="823"/>
    </row>
    <row r="1152" spans="1:27" x14ac:dyDescent="0.25">
      <c r="A1152" s="1035">
        <v>1144</v>
      </c>
      <c r="B1152" s="1035" t="s">
        <v>61</v>
      </c>
      <c r="C1152" s="1035" t="s">
        <v>200</v>
      </c>
      <c r="D1152" s="1364"/>
      <c r="E1152" s="1358"/>
      <c r="F1152" s="1358"/>
      <c r="G1152" s="1358"/>
      <c r="H1152" s="1359"/>
      <c r="I1152" s="824"/>
      <c r="J1152" s="824"/>
      <c r="K1152" s="825"/>
      <c r="L1152" s="932" t="s">
        <v>708</v>
      </c>
      <c r="M1152" s="933">
        <f>IF(AND(L1138=3,M1138=3),2,0)</f>
        <v>0</v>
      </c>
      <c r="N1152" s="801"/>
      <c r="O1152" s="822"/>
      <c r="R1152" s="822"/>
      <c r="S1152" s="822"/>
      <c r="T1152" s="822"/>
      <c r="U1152" s="822"/>
      <c r="V1152" s="822"/>
      <c r="W1152" s="822"/>
      <c r="X1152" s="822"/>
      <c r="Y1152" s="823"/>
      <c r="Z1152" s="823"/>
      <c r="AA1152" s="823"/>
    </row>
    <row r="1153" spans="1:27" ht="15.75" thickBot="1" x14ac:dyDescent="0.3">
      <c r="A1153" s="1035">
        <v>1145</v>
      </c>
      <c r="B1153" s="1035" t="s">
        <v>61</v>
      </c>
      <c r="C1153" s="1035" t="s">
        <v>200</v>
      </c>
      <c r="D1153" s="1364"/>
      <c r="E1153" s="1358"/>
      <c r="F1153" s="1358"/>
      <c r="G1153" s="1358"/>
      <c r="H1153" s="1359"/>
      <c r="I1153" s="824"/>
      <c r="J1153" s="824"/>
      <c r="K1153" s="825"/>
      <c r="L1153" s="934" t="s">
        <v>1084</v>
      </c>
      <c r="M1153" s="935">
        <f>IF(AND(E1134=AIS_Yes,OR(E1135=L1131,E1135=AIS_Yes),L1138=6),2,0)</f>
        <v>0</v>
      </c>
      <c r="N1153" s="801"/>
      <c r="O1153" s="822"/>
      <c r="P1153" s="822"/>
      <c r="Q1153" s="822"/>
      <c r="R1153" s="822"/>
      <c r="S1153" s="822"/>
      <c r="T1153" s="822"/>
      <c r="U1153" s="822"/>
      <c r="V1153" s="822"/>
      <c r="W1153" s="822"/>
      <c r="X1153" s="822"/>
      <c r="Y1153" s="823"/>
      <c r="Z1153" s="823"/>
      <c r="AA1153" s="823"/>
    </row>
    <row r="1154" spans="1:27" ht="15.75" thickBot="1" x14ac:dyDescent="0.3">
      <c r="A1154" s="1035">
        <v>1146</v>
      </c>
      <c r="B1154" s="1035" t="s">
        <v>61</v>
      </c>
      <c r="C1154" s="1035" t="s">
        <v>200</v>
      </c>
      <c r="D1154" s="1360"/>
      <c r="E1154" s="1361"/>
      <c r="F1154" s="1361"/>
      <c r="G1154" s="1361"/>
      <c r="H1154" s="1362"/>
      <c r="I1154" s="824"/>
      <c r="J1154" s="824"/>
      <c r="K1154" s="825"/>
      <c r="L1154" s="936" t="s">
        <v>709</v>
      </c>
      <c r="M1154" s="936">
        <f>MAX(M1149:M1153)</f>
        <v>0</v>
      </c>
      <c r="N1154" s="801"/>
      <c r="O1154" s="822"/>
      <c r="P1154" s="822"/>
      <c r="Q1154" s="822"/>
      <c r="R1154" s="822"/>
      <c r="S1154" s="822"/>
      <c r="T1154" s="822"/>
      <c r="U1154" s="822"/>
      <c r="V1154" s="822"/>
      <c r="W1154" s="822"/>
      <c r="X1154" s="822"/>
      <c r="Y1154" s="823"/>
      <c r="Z1154" s="823"/>
      <c r="AA1154" s="823"/>
    </row>
    <row r="1155" spans="1:27" ht="15.75" thickBot="1" x14ac:dyDescent="0.3">
      <c r="A1155" s="1035">
        <v>1147</v>
      </c>
      <c r="B1155" s="1035" t="s">
        <v>61</v>
      </c>
      <c r="C1155" s="1035" t="s">
        <v>200</v>
      </c>
      <c r="D1155" s="1193"/>
      <c r="E1155" s="1193"/>
      <c r="F1155" s="1156"/>
      <c r="G1155" s="1156"/>
      <c r="H1155" s="1156"/>
      <c r="I1155" s="824"/>
      <c r="J1155" s="824"/>
      <c r="K1155" s="825"/>
      <c r="L1155" s="937"/>
      <c r="M1155" s="820"/>
      <c r="N1155" s="801"/>
      <c r="O1155" s="822"/>
      <c r="P1155" s="822"/>
      <c r="Q1155" s="822"/>
      <c r="R1155" s="822"/>
      <c r="S1155" s="822"/>
      <c r="T1155" s="822"/>
      <c r="U1155" s="822"/>
      <c r="V1155" s="822"/>
      <c r="W1155" s="822"/>
      <c r="X1155" s="822"/>
      <c r="Y1155" s="823"/>
      <c r="Z1155" s="823"/>
      <c r="AA1155" s="823"/>
    </row>
    <row r="1156" spans="1:27" ht="15.75" thickBot="1" x14ac:dyDescent="0.3">
      <c r="A1156" s="1047">
        <v>1148</v>
      </c>
      <c r="B1156" s="1047" t="s">
        <v>61</v>
      </c>
      <c r="C1156" s="803" t="s">
        <v>201</v>
      </c>
      <c r="D1156" s="1103" t="s">
        <v>924</v>
      </c>
      <c r="E1156" s="1104"/>
      <c r="F1156" s="1104"/>
      <c r="G1156" s="1105"/>
      <c r="H1156" s="1167" t="str">
        <f>IF(LE06_credits=AIS_credit00,AIS_statement32,"")</f>
        <v>Assessment Issue Not Applicable</v>
      </c>
      <c r="I1156" s="824"/>
      <c r="J1156" s="824"/>
      <c r="K1156" s="825"/>
      <c r="L1156" s="809" t="str">
        <f>C1156</f>
        <v>LE 06</v>
      </c>
      <c r="M1156" s="821"/>
      <c r="N1156" s="801"/>
      <c r="O1156" s="822"/>
      <c r="P1156" s="822"/>
      <c r="Q1156" s="822"/>
      <c r="R1156" s="822"/>
      <c r="S1156" s="822"/>
      <c r="T1156" s="822"/>
      <c r="U1156" s="822"/>
      <c r="V1156" s="822"/>
      <c r="W1156" s="822"/>
      <c r="X1156" s="822"/>
      <c r="Y1156" s="823"/>
      <c r="Z1156" s="823"/>
      <c r="AA1156" s="823"/>
    </row>
    <row r="1157" spans="1:27" ht="15.75" thickBot="1" x14ac:dyDescent="0.3">
      <c r="A1157" s="1035">
        <v>1149</v>
      </c>
      <c r="B1157" s="1035" t="s">
        <v>61</v>
      </c>
      <c r="C1157" s="1035" t="s">
        <v>201</v>
      </c>
      <c r="D1157" s="1107" t="s">
        <v>17</v>
      </c>
      <c r="E1157" s="1108">
        <f>LE06_credits</f>
        <v>0</v>
      </c>
      <c r="F1157" s="1109"/>
      <c r="G1157" s="1110" t="s">
        <v>85</v>
      </c>
      <c r="H1157" s="1111">
        <f>Poeng!T78</f>
        <v>0</v>
      </c>
      <c r="I1157" s="824"/>
      <c r="J1157" s="824"/>
      <c r="K1157" s="825"/>
      <c r="L1157" s="906" t="str">
        <f>AIS_PS</f>
        <v>Please select</v>
      </c>
      <c r="M1157" s="821"/>
      <c r="N1157" s="801"/>
      <c r="O1157" s="822"/>
      <c r="P1157" s="822"/>
      <c r="Q1157" s="822"/>
      <c r="R1157" s="822"/>
      <c r="S1157" s="822"/>
      <c r="T1157" s="822"/>
      <c r="U1157" s="822"/>
      <c r="V1157" s="822"/>
      <c r="W1157" s="822"/>
      <c r="X1157" s="822"/>
      <c r="Y1157" s="823"/>
      <c r="Z1157" s="823"/>
      <c r="AA1157" s="823"/>
    </row>
    <row r="1158" spans="1:27" x14ac:dyDescent="0.25">
      <c r="A1158" s="1035">
        <v>1150</v>
      </c>
      <c r="B1158" s="1035" t="s">
        <v>61</v>
      </c>
      <c r="C1158" s="1035" t="s">
        <v>201</v>
      </c>
      <c r="D1158" s="1112" t="s">
        <v>349</v>
      </c>
      <c r="E1158" s="1113">
        <v>0</v>
      </c>
      <c r="F1158" s="1114"/>
      <c r="G1158" s="1115" t="s">
        <v>350</v>
      </c>
      <c r="H1158" s="1116" t="s">
        <v>15</v>
      </c>
      <c r="I1158" s="824"/>
      <c r="J1158" s="824"/>
      <c r="K1158" s="825"/>
      <c r="L1158" s="891" t="s">
        <v>554</v>
      </c>
      <c r="M1158" s="821"/>
      <c r="N1158" s="801"/>
      <c r="O1158" s="822"/>
      <c r="P1158" s="822"/>
      <c r="Q1158" s="822"/>
      <c r="R1158" s="822"/>
      <c r="S1158" s="822"/>
      <c r="T1158" s="822"/>
      <c r="U1158" s="822"/>
      <c r="V1158" s="822"/>
      <c r="W1158" s="822"/>
      <c r="X1158" s="822"/>
      <c r="Y1158" s="823"/>
      <c r="Z1158" s="823"/>
      <c r="AA1158" s="823"/>
    </row>
    <row r="1159" spans="1:27" ht="15.75" thickBot="1" x14ac:dyDescent="0.3">
      <c r="A1159" s="1035">
        <v>1151</v>
      </c>
      <c r="B1159" s="1035" t="s">
        <v>61</v>
      </c>
      <c r="C1159" s="1035" t="s">
        <v>201</v>
      </c>
      <c r="I1159" s="824"/>
      <c r="J1159" s="824"/>
      <c r="K1159" s="825"/>
      <c r="L1159" s="893" t="s">
        <v>555</v>
      </c>
      <c r="M1159" s="821"/>
      <c r="N1159" s="801"/>
      <c r="O1159" s="822"/>
      <c r="P1159" s="822"/>
      <c r="Q1159" s="822"/>
      <c r="R1159" s="822"/>
      <c r="S1159" s="822"/>
      <c r="T1159" s="822"/>
      <c r="U1159" s="822"/>
      <c r="V1159" s="822"/>
      <c r="W1159" s="822"/>
      <c r="X1159" s="822"/>
      <c r="Y1159" s="823"/>
      <c r="Z1159" s="823"/>
      <c r="AA1159" s="823"/>
    </row>
    <row r="1160" spans="1:27" ht="15.75" thickBot="1" x14ac:dyDescent="0.3">
      <c r="A1160" s="1035">
        <v>1152</v>
      </c>
      <c r="B1160" s="1035" t="s">
        <v>61</v>
      </c>
      <c r="C1160" s="1035" t="s">
        <v>201</v>
      </c>
      <c r="D1160" s="1117" t="s">
        <v>351</v>
      </c>
      <c r="H1160" s="1118" t="s">
        <v>355</v>
      </c>
      <c r="I1160" s="824"/>
      <c r="J1160" s="824"/>
      <c r="K1160" s="825"/>
      <c r="L1160" s="916" t="s">
        <v>710</v>
      </c>
      <c r="M1160" s="821"/>
      <c r="N1160" s="801"/>
      <c r="O1160" s="822"/>
      <c r="P1160" s="822"/>
      <c r="Q1160" s="822"/>
      <c r="R1160" s="822"/>
      <c r="S1160" s="822"/>
      <c r="T1160" s="822"/>
      <c r="U1160" s="822"/>
      <c r="V1160" s="822"/>
      <c r="W1160" s="822"/>
      <c r="X1160" s="822"/>
      <c r="Y1160" s="823"/>
      <c r="Z1160" s="823"/>
      <c r="AA1160" s="823"/>
    </row>
    <row r="1161" spans="1:27" ht="15.75" thickBot="1" x14ac:dyDescent="0.3">
      <c r="A1161" s="1035">
        <v>1153</v>
      </c>
      <c r="B1161" s="1035" t="s">
        <v>61</v>
      </c>
      <c r="C1161" s="1035" t="s">
        <v>201</v>
      </c>
      <c r="D1161" s="1142" t="s">
        <v>479</v>
      </c>
      <c r="E1161" s="1098" t="s">
        <v>360</v>
      </c>
      <c r="H1161" s="1327" t="s">
        <v>16</v>
      </c>
      <c r="I1161" s="824"/>
      <c r="J1161" s="824"/>
      <c r="K1161" s="825"/>
      <c r="L1161" s="917" t="s">
        <v>556</v>
      </c>
      <c r="M1161" s="821"/>
      <c r="N1161" s="801"/>
      <c r="O1161" s="102" t="s">
        <v>1273</v>
      </c>
      <c r="P1161" s="822"/>
      <c r="Q1161" s="822"/>
      <c r="R1161" s="822"/>
      <c r="S1161" s="822"/>
      <c r="T1161" s="822"/>
      <c r="U1161" s="822" t="str">
        <f>$T$4</f>
        <v>No</v>
      </c>
      <c r="V1161" s="822"/>
      <c r="W1161" s="822"/>
      <c r="X1161" s="822"/>
      <c r="Y1161" s="823"/>
      <c r="Z1161" s="823"/>
      <c r="AA1161" s="823"/>
    </row>
    <row r="1162" spans="1:27" ht="15.75" thickBot="1" x14ac:dyDescent="0.3">
      <c r="A1162" s="1035">
        <v>1154</v>
      </c>
      <c r="B1162" s="1035" t="s">
        <v>61</v>
      </c>
      <c r="C1162" s="1035" t="s">
        <v>201</v>
      </c>
      <c r="I1162" s="824"/>
      <c r="J1162" s="824"/>
      <c r="K1162" s="825"/>
      <c r="L1162" s="918" t="s">
        <v>557</v>
      </c>
      <c r="M1162" s="821"/>
      <c r="N1162" s="801"/>
      <c r="O1162" s="822"/>
      <c r="P1162" s="822"/>
      <c r="Q1162" s="822"/>
      <c r="R1162" s="822"/>
      <c r="S1162" s="822"/>
      <c r="T1162" s="822"/>
      <c r="U1162" s="822"/>
      <c r="V1162" s="822"/>
      <c r="W1162" s="822"/>
      <c r="X1162" s="822"/>
      <c r="Y1162" s="823"/>
      <c r="Z1162" s="823"/>
      <c r="AA1162" s="823"/>
    </row>
    <row r="1163" spans="1:27" ht="15.75" thickBot="1" x14ac:dyDescent="0.3">
      <c r="A1163" s="1035">
        <v>1155</v>
      </c>
      <c r="B1163" s="1035" t="s">
        <v>61</v>
      </c>
      <c r="C1163" s="1035" t="s">
        <v>201</v>
      </c>
      <c r="D1163" s="1117"/>
      <c r="E1163" s="1118" t="s">
        <v>480</v>
      </c>
      <c r="F1163" s="1118" t="s">
        <v>353</v>
      </c>
      <c r="G1163" s="1118" t="s">
        <v>354</v>
      </c>
      <c r="I1163" s="824"/>
      <c r="J1163" s="824"/>
      <c r="K1163" s="825"/>
      <c r="L1163" s="840"/>
      <c r="M1163" s="821"/>
      <c r="N1163" s="801"/>
      <c r="O1163" s="822"/>
      <c r="P1163" s="822"/>
      <c r="Q1163" s="822"/>
      <c r="R1163" s="822"/>
      <c r="S1163" s="822"/>
      <c r="T1163" s="822"/>
      <c r="U1163" s="822"/>
      <c r="V1163" s="822"/>
      <c r="W1163" s="822"/>
      <c r="X1163" s="822"/>
      <c r="Y1163" s="823"/>
      <c r="Z1163" s="823"/>
      <c r="AA1163" s="823"/>
    </row>
    <row r="1164" spans="1:27" ht="15.75" thickBot="1" x14ac:dyDescent="0.3">
      <c r="A1164" s="1035">
        <v>1156</v>
      </c>
      <c r="B1164" s="1035" t="s">
        <v>61</v>
      </c>
      <c r="C1164" s="1035" t="s">
        <v>201</v>
      </c>
      <c r="D1164" s="1142" t="s">
        <v>481</v>
      </c>
      <c r="E1164" s="1098" t="s">
        <v>360</v>
      </c>
      <c r="F1164" s="1143">
        <f>E1157</f>
        <v>0</v>
      </c>
      <c r="G1164" s="1143">
        <f>IF(F1164=0,0,L1170)</f>
        <v>0</v>
      </c>
      <c r="I1164" s="824"/>
      <c r="J1164" s="824"/>
      <c r="K1164" s="825"/>
      <c r="L1164" s="820"/>
      <c r="M1164" s="821"/>
      <c r="N1164" s="801"/>
      <c r="O1164" s="822"/>
      <c r="P1164" s="822"/>
      <c r="Q1164" s="822"/>
      <c r="R1164" s="822"/>
      <c r="S1164" s="822"/>
      <c r="T1164" s="822"/>
      <c r="U1164" s="822"/>
      <c r="V1164" s="822"/>
      <c r="W1164" s="822"/>
      <c r="X1164" s="822"/>
      <c r="Y1164" s="823"/>
      <c r="Z1164" s="823"/>
      <c r="AA1164" s="823"/>
    </row>
    <row r="1165" spans="1:27" x14ac:dyDescent="0.25">
      <c r="A1165" s="1035">
        <v>1157</v>
      </c>
      <c r="B1165" s="1035" t="s">
        <v>61</v>
      </c>
      <c r="C1165" s="1035" t="s">
        <v>201</v>
      </c>
      <c r="I1165" s="824"/>
      <c r="J1165" s="824"/>
      <c r="K1165" s="825"/>
      <c r="L1165" s="938" t="s">
        <v>360</v>
      </c>
      <c r="M1165" s="821"/>
      <c r="N1165" s="801"/>
      <c r="O1165" s="822"/>
      <c r="P1165" s="822"/>
      <c r="Q1165" s="822"/>
      <c r="R1165" s="822"/>
      <c r="S1165" s="822"/>
      <c r="T1165" s="822"/>
      <c r="U1165" s="822"/>
      <c r="V1165" s="822"/>
      <c r="W1165" s="822"/>
      <c r="X1165" s="822"/>
      <c r="Y1165" s="823"/>
      <c r="Z1165" s="823"/>
      <c r="AA1165" s="823"/>
    </row>
    <row r="1166" spans="1:27" x14ac:dyDescent="0.25">
      <c r="A1166" s="1035">
        <v>1158</v>
      </c>
      <c r="B1166" s="1035" t="s">
        <v>61</v>
      </c>
      <c r="C1166" s="1035" t="s">
        <v>201</v>
      </c>
      <c r="I1166" s="824"/>
      <c r="J1166" s="824"/>
      <c r="K1166" s="825"/>
      <c r="L1166" s="917" t="str">
        <f>IF(E1161=AIS_PS,"",IF(E1161=L1158,L1160,L1161))</f>
        <v/>
      </c>
      <c r="M1166" s="821"/>
      <c r="N1166" s="801"/>
      <c r="O1166" s="822"/>
      <c r="P1166" s="822"/>
      <c r="Q1166" s="822"/>
      <c r="R1166" s="822"/>
      <c r="S1166" s="822"/>
      <c r="T1166" s="822"/>
      <c r="U1166" s="822"/>
      <c r="V1166" s="822"/>
      <c r="W1166" s="822"/>
      <c r="X1166" s="822"/>
      <c r="Y1166" s="823"/>
      <c r="Z1166" s="823"/>
      <c r="AA1166" s="823"/>
    </row>
    <row r="1167" spans="1:27" ht="15.75" thickBot="1" x14ac:dyDescent="0.3">
      <c r="A1167" s="1035">
        <v>1159</v>
      </c>
      <c r="B1167" s="1035" t="s">
        <v>61</v>
      </c>
      <c r="C1167" s="1035" t="s">
        <v>201</v>
      </c>
      <c r="D1167" s="1127" t="s">
        <v>356</v>
      </c>
      <c r="E1167" s="1128">
        <f>IF(G1164&gt;E1157,E1157,G1164)</f>
        <v>0</v>
      </c>
      <c r="I1167" s="1029"/>
      <c r="J1167" s="824"/>
      <c r="K1167" s="825"/>
      <c r="L1167" s="918" t="str">
        <f>IF(E1161=AIS_PS,"",IF(E1161=L1158,L1161,L1162))</f>
        <v/>
      </c>
      <c r="M1167" s="821"/>
      <c r="N1167" s="801"/>
      <c r="O1167" s="822"/>
      <c r="P1167" s="822"/>
      <c r="Q1167" s="822"/>
      <c r="R1167" s="822"/>
      <c r="S1167" s="822"/>
      <c r="T1167" s="822"/>
      <c r="U1167" s="822"/>
      <c r="V1167" s="822"/>
      <c r="W1167" s="822"/>
      <c r="X1167" s="822"/>
      <c r="Y1167" s="823"/>
      <c r="Z1167" s="823"/>
      <c r="AA1167" s="823"/>
    </row>
    <row r="1168" spans="1:27" x14ac:dyDescent="0.25">
      <c r="A1168" s="1035">
        <v>1160</v>
      </c>
      <c r="B1168" s="1035" t="s">
        <v>61</v>
      </c>
      <c r="C1168" s="1035" t="s">
        <v>201</v>
      </c>
      <c r="D1168" s="1129" t="s">
        <v>86</v>
      </c>
      <c r="E1168" s="1130">
        <f>LE06_contr</f>
        <v>0</v>
      </c>
      <c r="I1168" s="824"/>
      <c r="J1168" s="824"/>
      <c r="K1168" s="825"/>
      <c r="L1168" s="916">
        <f>IF(AND(E1161=L1158,E1164=L1166),1,IF(AND(E1161=L1158,E1164=L1167),2,0))</f>
        <v>0</v>
      </c>
      <c r="M1168" s="821"/>
      <c r="N1168" s="801"/>
      <c r="O1168" s="822"/>
      <c r="P1168" s="822"/>
      <c r="Q1168" s="822"/>
      <c r="R1168" s="822"/>
      <c r="S1168" s="822"/>
      <c r="T1168" s="822"/>
      <c r="U1168" s="822"/>
      <c r="V1168" s="822"/>
      <c r="W1168" s="822"/>
      <c r="X1168" s="822"/>
      <c r="Y1168" s="823"/>
      <c r="Z1168" s="823"/>
      <c r="AA1168" s="823"/>
    </row>
    <row r="1169" spans="1:27" ht="15.75" thickBot="1" x14ac:dyDescent="0.3">
      <c r="A1169" s="1035">
        <v>1161</v>
      </c>
      <c r="B1169" s="1035" t="s">
        <v>61</v>
      </c>
      <c r="C1169" s="1035" t="s">
        <v>201</v>
      </c>
      <c r="D1169" s="1131" t="s">
        <v>357</v>
      </c>
      <c r="E1169" s="1128" t="s">
        <v>16</v>
      </c>
      <c r="I1169" s="824"/>
      <c r="J1169" s="824"/>
      <c r="K1169" s="825"/>
      <c r="L1169" s="939">
        <f>IF(AND(E1161=L1159,E1164=L1166),1,IF(AND(E1161=L1159,E1164=L1167),2,0))</f>
        <v>0</v>
      </c>
      <c r="M1169" s="821"/>
      <c r="N1169" s="801"/>
      <c r="O1169" s="822"/>
      <c r="P1169" s="822"/>
      <c r="Q1169" s="822"/>
      <c r="R1169" s="822"/>
      <c r="S1169" s="822"/>
      <c r="T1169" s="822"/>
      <c r="U1169" s="822"/>
      <c r="V1169" s="822"/>
      <c r="W1169" s="822"/>
      <c r="X1169" s="822"/>
      <c r="Y1169" s="823"/>
      <c r="Z1169" s="823"/>
      <c r="AA1169" s="823"/>
    </row>
    <row r="1170" spans="1:27" ht="15.75" thickBot="1" x14ac:dyDescent="0.3">
      <c r="A1170" s="1035">
        <v>1162</v>
      </c>
      <c r="B1170" s="1035" t="s">
        <v>61</v>
      </c>
      <c r="C1170" s="1035" t="s">
        <v>201</v>
      </c>
      <c r="D1170" s="1132" t="s">
        <v>55</v>
      </c>
      <c r="E1170" s="1133" t="s">
        <v>16</v>
      </c>
      <c r="F1170" s="1134"/>
      <c r="G1170" s="1135"/>
      <c r="I1170" s="824"/>
      <c r="J1170" s="824"/>
      <c r="K1170" s="825"/>
      <c r="L1170" s="936">
        <f>MAX(L1168:L1169)</f>
        <v>0</v>
      </c>
      <c r="M1170" s="821"/>
      <c r="N1170" s="801"/>
      <c r="O1170" s="822"/>
      <c r="P1170" s="822"/>
      <c r="Q1170" s="822"/>
      <c r="R1170" s="822"/>
      <c r="S1170" s="822"/>
      <c r="T1170" s="822"/>
      <c r="U1170" s="822"/>
      <c r="V1170" s="822"/>
      <c r="W1170" s="822"/>
      <c r="X1170" s="822"/>
      <c r="Y1170" s="823"/>
      <c r="Z1170" s="823"/>
      <c r="AA1170" s="823"/>
    </row>
    <row r="1171" spans="1:27" x14ac:dyDescent="0.25">
      <c r="A1171" s="1035">
        <v>1163</v>
      </c>
      <c r="B1171" s="1035" t="s">
        <v>61</v>
      </c>
      <c r="C1171" s="1035" t="s">
        <v>201</v>
      </c>
      <c r="I1171" s="824"/>
      <c r="J1171" s="824"/>
      <c r="K1171" s="825"/>
      <c r="L1171" s="820"/>
      <c r="M1171" s="821"/>
      <c r="N1171" s="801"/>
      <c r="O1171" s="822"/>
      <c r="P1171" s="822"/>
      <c r="Q1171" s="822"/>
      <c r="R1171" s="822"/>
      <c r="S1171" s="822"/>
      <c r="T1171" s="822"/>
      <c r="U1171" s="822"/>
      <c r="V1171" s="822"/>
      <c r="W1171" s="822"/>
      <c r="X1171" s="822"/>
      <c r="Y1171" s="823"/>
      <c r="Z1171" s="823"/>
      <c r="AA1171" s="823"/>
    </row>
    <row r="1172" spans="1:27" x14ac:dyDescent="0.25">
      <c r="A1172" s="1035">
        <v>1164</v>
      </c>
      <c r="B1172" s="1035" t="s">
        <v>61</v>
      </c>
      <c r="C1172" s="1035" t="s">
        <v>201</v>
      </c>
      <c r="D1172" s="1136" t="s">
        <v>359</v>
      </c>
      <c r="E1172" s="1136" t="s">
        <v>977</v>
      </c>
      <c r="F1172" s="1136" t="str">
        <f>HLOOKUP(C1172,'Assessment References'!$H$512:$BG$513,2,FALSE)</f>
        <v/>
      </c>
      <c r="G1172" s="1137"/>
      <c r="H1172" s="1138"/>
      <c r="I1172" s="824"/>
      <c r="J1172" s="824"/>
      <c r="K1172" s="825"/>
      <c r="L1172" s="820"/>
      <c r="M1172" s="821"/>
      <c r="N1172" s="801"/>
      <c r="O1172" s="822"/>
      <c r="P1172" s="822"/>
      <c r="Q1172" s="822"/>
      <c r="R1172" s="822"/>
      <c r="S1172" s="822"/>
      <c r="T1172" s="822"/>
      <c r="U1172" s="822"/>
      <c r="V1172" s="822"/>
      <c r="W1172" s="822"/>
      <c r="X1172" s="822"/>
      <c r="Y1172" s="823"/>
      <c r="Z1172" s="823"/>
      <c r="AA1172" s="823"/>
    </row>
    <row r="1173" spans="1:27" x14ac:dyDescent="0.25">
      <c r="A1173" s="1035">
        <v>1165</v>
      </c>
      <c r="B1173" s="1035" t="s">
        <v>61</v>
      </c>
      <c r="C1173" s="1035" t="s">
        <v>201</v>
      </c>
      <c r="D1173" s="1363"/>
      <c r="E1173" s="1352"/>
      <c r="F1173" s="1352"/>
      <c r="G1173" s="1352"/>
      <c r="H1173" s="1353"/>
      <c r="I1173" s="824"/>
      <c r="J1173" s="824"/>
      <c r="K1173" s="825"/>
      <c r="L1173" s="820"/>
      <c r="M1173" s="821"/>
      <c r="N1173" s="801"/>
      <c r="O1173" s="822"/>
      <c r="P1173" s="822"/>
      <c r="Q1173" s="822"/>
      <c r="R1173" s="822"/>
      <c r="S1173" s="822"/>
      <c r="T1173" s="822"/>
      <c r="U1173" s="822"/>
      <c r="V1173" s="822"/>
      <c r="W1173" s="822"/>
      <c r="X1173" s="822"/>
      <c r="Y1173" s="823"/>
      <c r="Z1173" s="823"/>
      <c r="AA1173" s="823"/>
    </row>
    <row r="1174" spans="1:27" x14ac:dyDescent="0.25">
      <c r="A1174" s="1035">
        <v>1166</v>
      </c>
      <c r="B1174" s="1035" t="s">
        <v>61</v>
      </c>
      <c r="C1174" s="1035" t="s">
        <v>201</v>
      </c>
      <c r="D1174" s="1354"/>
      <c r="E1174" s="1355"/>
      <c r="F1174" s="1355"/>
      <c r="G1174" s="1355"/>
      <c r="H1174" s="1356"/>
      <c r="I1174" s="824"/>
      <c r="J1174" s="824"/>
      <c r="K1174" s="825"/>
      <c r="L1174" s="820"/>
      <c r="M1174" s="821"/>
      <c r="N1174" s="801"/>
      <c r="O1174" s="822"/>
      <c r="P1174" s="822"/>
      <c r="Q1174" s="822"/>
      <c r="R1174" s="822"/>
      <c r="S1174" s="822"/>
      <c r="T1174" s="822"/>
      <c r="U1174" s="822"/>
      <c r="V1174" s="822"/>
      <c r="W1174" s="822"/>
      <c r="X1174" s="822"/>
      <c r="Y1174" s="823"/>
      <c r="Z1174" s="823"/>
      <c r="AA1174" s="823"/>
    </row>
    <row r="1175" spans="1:27" x14ac:dyDescent="0.25">
      <c r="A1175" s="1035">
        <v>1167</v>
      </c>
      <c r="B1175" s="1035" t="s">
        <v>61</v>
      </c>
      <c r="C1175" s="1035" t="s">
        <v>201</v>
      </c>
      <c r="D1175" s="1354"/>
      <c r="E1175" s="1355"/>
      <c r="F1175" s="1355"/>
      <c r="G1175" s="1355"/>
      <c r="H1175" s="1356"/>
      <c r="I1175" s="824"/>
      <c r="J1175" s="824"/>
      <c r="K1175" s="825"/>
      <c r="L1175" s="820"/>
      <c r="M1175" s="821"/>
      <c r="N1175" s="801"/>
      <c r="O1175" s="822"/>
      <c r="P1175" s="822"/>
      <c r="Q1175" s="822"/>
      <c r="R1175" s="822"/>
      <c r="S1175" s="822"/>
      <c r="T1175" s="822"/>
      <c r="U1175" s="822"/>
      <c r="V1175" s="822"/>
      <c r="W1175" s="822"/>
      <c r="X1175" s="822"/>
      <c r="Y1175" s="823"/>
      <c r="Z1175" s="823"/>
      <c r="AA1175" s="823"/>
    </row>
    <row r="1176" spans="1:27" x14ac:dyDescent="0.25">
      <c r="A1176" s="1035">
        <v>1168</v>
      </c>
      <c r="B1176" s="1035" t="s">
        <v>61</v>
      </c>
      <c r="C1176" s="1035" t="s">
        <v>201</v>
      </c>
      <c r="D1176" s="1364"/>
      <c r="E1176" s="1358"/>
      <c r="F1176" s="1358"/>
      <c r="G1176" s="1358"/>
      <c r="H1176" s="1359"/>
      <c r="I1176" s="824"/>
      <c r="J1176" s="824"/>
      <c r="K1176" s="825"/>
      <c r="L1176" s="820"/>
      <c r="M1176" s="821"/>
      <c r="N1176" s="801"/>
      <c r="O1176" s="822"/>
      <c r="P1176" s="822"/>
      <c r="Q1176" s="822"/>
      <c r="R1176" s="822"/>
      <c r="S1176" s="822"/>
      <c r="T1176" s="822"/>
      <c r="U1176" s="822"/>
      <c r="V1176" s="822"/>
      <c r="W1176" s="822"/>
      <c r="X1176" s="822"/>
      <c r="Y1176" s="823"/>
      <c r="Z1176" s="823"/>
      <c r="AA1176" s="823"/>
    </row>
    <row r="1177" spans="1:27" x14ac:dyDescent="0.25">
      <c r="A1177" s="1035">
        <v>1169</v>
      </c>
      <c r="B1177" s="1035" t="s">
        <v>61</v>
      </c>
      <c r="C1177" s="1035" t="s">
        <v>201</v>
      </c>
      <c r="D1177" s="1364"/>
      <c r="E1177" s="1358"/>
      <c r="F1177" s="1358"/>
      <c r="G1177" s="1358"/>
      <c r="H1177" s="1359"/>
      <c r="I1177" s="824"/>
      <c r="J1177" s="824"/>
      <c r="K1177" s="825"/>
      <c r="L1177" s="820"/>
      <c r="M1177" s="821"/>
      <c r="N1177" s="801"/>
      <c r="O1177" s="822"/>
      <c r="P1177" s="822"/>
      <c r="Q1177" s="822"/>
      <c r="R1177" s="822"/>
      <c r="S1177" s="822"/>
      <c r="T1177" s="822"/>
      <c r="U1177" s="822"/>
      <c r="V1177" s="822"/>
      <c r="W1177" s="822"/>
      <c r="X1177" s="822"/>
      <c r="Y1177" s="823"/>
      <c r="Z1177" s="823"/>
      <c r="AA1177" s="823"/>
    </row>
    <row r="1178" spans="1:27" x14ac:dyDescent="0.25">
      <c r="A1178" s="1035">
        <v>1170</v>
      </c>
      <c r="B1178" s="1035" t="s">
        <v>61</v>
      </c>
      <c r="C1178" s="1035" t="s">
        <v>201</v>
      </c>
      <c r="D1178" s="1360"/>
      <c r="E1178" s="1361"/>
      <c r="F1178" s="1361"/>
      <c r="G1178" s="1361"/>
      <c r="H1178" s="1362"/>
      <c r="I1178" s="824"/>
      <c r="J1178" s="824"/>
      <c r="K1178" s="825"/>
      <c r="L1178" s="820"/>
      <c r="M1178" s="821"/>
      <c r="N1178" s="801"/>
      <c r="O1178" s="822"/>
      <c r="P1178" s="822"/>
      <c r="Q1178" s="822"/>
      <c r="R1178" s="822"/>
      <c r="S1178" s="822"/>
      <c r="T1178" s="822"/>
      <c r="U1178" s="822"/>
      <c r="V1178" s="822"/>
      <c r="W1178" s="822"/>
      <c r="X1178" s="822"/>
      <c r="Y1178" s="823"/>
      <c r="Z1178" s="823"/>
      <c r="AA1178" s="823"/>
    </row>
    <row r="1179" spans="1:27" x14ac:dyDescent="0.25">
      <c r="A1179" s="1035">
        <v>1171</v>
      </c>
      <c r="B1179" s="1035" t="s">
        <v>61</v>
      </c>
      <c r="C1179" s="1035" t="s">
        <v>201</v>
      </c>
      <c r="D1179" s="1193"/>
      <c r="E1179" s="1193"/>
      <c r="F1179" s="1156"/>
      <c r="G1179" s="1156"/>
      <c r="H1179" s="1156"/>
      <c r="I1179" s="824"/>
      <c r="J1179" s="824"/>
      <c r="K1179" s="825"/>
      <c r="L1179" s="820"/>
      <c r="M1179" s="821"/>
      <c r="N1179" s="801"/>
      <c r="O1179" s="822"/>
      <c r="P1179" s="822"/>
      <c r="Q1179" s="822"/>
      <c r="R1179" s="822"/>
      <c r="S1179" s="822"/>
      <c r="T1179" s="822"/>
      <c r="U1179" s="822"/>
      <c r="V1179" s="822"/>
      <c r="W1179" s="822"/>
      <c r="X1179" s="822"/>
      <c r="Y1179" s="823"/>
      <c r="Z1179" s="823"/>
      <c r="AA1179" s="823"/>
    </row>
    <row r="1180" spans="1:27" ht="18.75" x14ac:dyDescent="0.3">
      <c r="A1180" s="1041">
        <v>1172</v>
      </c>
      <c r="B1180" s="1032" t="s">
        <v>62</v>
      </c>
      <c r="C1180" s="1033"/>
      <c r="D1180" s="1154"/>
      <c r="E1180" s="1154"/>
      <c r="F1180" s="1154"/>
      <c r="G1180" s="1154"/>
      <c r="H1180" s="1155"/>
      <c r="I1180" s="824"/>
      <c r="J1180" s="824"/>
      <c r="K1180" s="825"/>
      <c r="L1180" s="820"/>
      <c r="M1180" s="821"/>
      <c r="N1180" s="801"/>
      <c r="O1180" s="822"/>
      <c r="P1180" s="822"/>
      <c r="Q1180" s="822"/>
      <c r="R1180" s="822"/>
      <c r="S1180" s="822"/>
      <c r="T1180" s="822"/>
      <c r="U1180" s="822"/>
      <c r="V1180" s="822"/>
      <c r="W1180" s="822"/>
      <c r="X1180" s="822"/>
      <c r="Y1180" s="823"/>
      <c r="Z1180" s="823"/>
      <c r="AA1180" s="823"/>
    </row>
    <row r="1181" spans="1:27" x14ac:dyDescent="0.25">
      <c r="A1181" s="1035">
        <v>1173</v>
      </c>
      <c r="B1181" s="1035" t="s">
        <v>62</v>
      </c>
      <c r="C1181" s="1029"/>
      <c r="D1181" s="1193"/>
      <c r="E1181" s="1193"/>
      <c r="F1181" s="1156"/>
      <c r="G1181" s="1156"/>
      <c r="H1181" s="1156"/>
      <c r="I1181" s="824"/>
      <c r="J1181" s="824"/>
      <c r="K1181" s="825"/>
      <c r="L1181" s="820"/>
      <c r="M1181" s="821"/>
      <c r="N1181" s="801"/>
      <c r="O1181" s="822"/>
      <c r="P1181" s="822"/>
      <c r="Q1181" s="822"/>
      <c r="R1181" s="822"/>
      <c r="S1181" s="822"/>
      <c r="T1181" s="822"/>
      <c r="U1181" s="822"/>
      <c r="V1181" s="822"/>
      <c r="W1181" s="822"/>
      <c r="X1181" s="822"/>
      <c r="Y1181" s="823"/>
      <c r="Z1181" s="823"/>
      <c r="AA1181" s="823"/>
    </row>
    <row r="1182" spans="1:27" x14ac:dyDescent="0.25">
      <c r="A1182" s="1039">
        <v>1174</v>
      </c>
      <c r="B1182" s="1039" t="s">
        <v>62</v>
      </c>
      <c r="C1182" s="827" t="s">
        <v>202</v>
      </c>
      <c r="D1182" s="1201" t="s">
        <v>925</v>
      </c>
      <c r="E1182" s="1158"/>
      <c r="F1182" s="1158"/>
      <c r="G1182" s="1159"/>
      <c r="H1182" s="1167" t="str">
        <f>IF(Pol01_credits=AIS_credit00,AIS_statement32,"")</f>
        <v/>
      </c>
      <c r="I1182" s="824"/>
      <c r="J1182" s="824"/>
      <c r="K1182" s="783"/>
      <c r="L1182" s="820"/>
      <c r="M1182" s="821"/>
      <c r="N1182" s="801"/>
      <c r="O1182" s="822"/>
      <c r="P1182" s="822"/>
      <c r="Q1182" s="822"/>
      <c r="R1182" s="822"/>
      <c r="S1182" s="822"/>
      <c r="T1182" s="822"/>
      <c r="U1182" s="822"/>
      <c r="V1182" s="822"/>
      <c r="W1182" s="822"/>
      <c r="X1182" s="822"/>
      <c r="Y1182" s="823"/>
      <c r="Z1182" s="823"/>
      <c r="AA1182" s="823"/>
    </row>
    <row r="1183" spans="1:27" x14ac:dyDescent="0.25">
      <c r="A1183" s="1035">
        <v>1175</v>
      </c>
      <c r="B1183" s="1035" t="s">
        <v>62</v>
      </c>
      <c r="C1183" s="1035" t="s">
        <v>202</v>
      </c>
      <c r="D1183" s="1107" t="s">
        <v>17</v>
      </c>
      <c r="E1183" s="1108">
        <f>Pol01_credits</f>
        <v>3</v>
      </c>
      <c r="F1183" s="1109"/>
      <c r="G1183" s="1110" t="s">
        <v>85</v>
      </c>
      <c r="H1183" s="1111">
        <f>Pol01_19</f>
        <v>1.846153846153846E-2</v>
      </c>
      <c r="I1183" s="824"/>
      <c r="J1183" s="824"/>
      <c r="K1183" s="825"/>
      <c r="L1183" s="820"/>
      <c r="M1183" s="821"/>
      <c r="N1183" s="801"/>
      <c r="O1183" s="822"/>
      <c r="P1183" s="822"/>
      <c r="Q1183" s="822"/>
      <c r="R1183" s="822"/>
      <c r="S1183" s="822"/>
      <c r="T1183" s="822"/>
      <c r="U1183" s="822"/>
      <c r="V1183" s="822"/>
      <c r="W1183" s="822"/>
      <c r="X1183" s="822"/>
      <c r="Y1183" s="823"/>
      <c r="Z1183" s="823"/>
      <c r="AA1183" s="823"/>
    </row>
    <row r="1184" spans="1:27" x14ac:dyDescent="0.25">
      <c r="A1184" s="1035">
        <v>1176</v>
      </c>
      <c r="B1184" s="1035" t="s">
        <v>62</v>
      </c>
      <c r="C1184" s="1035" t="s">
        <v>202</v>
      </c>
      <c r="D1184" s="1112" t="s">
        <v>349</v>
      </c>
      <c r="E1184" s="1113">
        <v>0</v>
      </c>
      <c r="F1184" s="1114"/>
      <c r="G1184" s="1115" t="s">
        <v>350</v>
      </c>
      <c r="H1184" s="1116" t="s">
        <v>15</v>
      </c>
      <c r="I1184" s="824"/>
      <c r="J1184" s="824"/>
      <c r="K1184" s="825"/>
      <c r="L1184" s="820"/>
      <c r="M1184" s="821"/>
      <c r="N1184" s="801"/>
      <c r="O1184" s="822"/>
      <c r="P1184" s="822"/>
      <c r="Q1184" s="822"/>
      <c r="R1184" s="822"/>
      <c r="S1184" s="822"/>
      <c r="T1184" s="822"/>
      <c r="U1184" s="822"/>
      <c r="V1184" s="822"/>
      <c r="W1184" s="822"/>
      <c r="X1184" s="822"/>
      <c r="Y1184" s="823"/>
      <c r="Z1184" s="823"/>
      <c r="AA1184" s="823"/>
    </row>
    <row r="1185" spans="1:34" x14ac:dyDescent="0.25">
      <c r="A1185" s="1035">
        <v>1177</v>
      </c>
      <c r="B1185" s="1035" t="s">
        <v>62</v>
      </c>
      <c r="C1185" s="1035" t="s">
        <v>202</v>
      </c>
      <c r="I1185" s="824"/>
      <c r="J1185" s="824"/>
      <c r="K1185" s="825"/>
      <c r="L1185" s="820"/>
      <c r="M1185" s="821"/>
      <c r="N1185" s="801"/>
      <c r="O1185" s="822"/>
      <c r="P1185" s="822"/>
      <c r="Q1185" s="822"/>
      <c r="R1185" s="822"/>
      <c r="S1185" s="822"/>
      <c r="T1185" s="822"/>
      <c r="U1185" s="822"/>
      <c r="V1185" s="822"/>
      <c r="W1185" s="822"/>
      <c r="X1185" s="822"/>
      <c r="Y1185" s="823"/>
      <c r="Z1185" s="823"/>
      <c r="AA1185" s="823"/>
    </row>
    <row r="1186" spans="1:34" ht="15.75" thickBot="1" x14ac:dyDescent="0.3">
      <c r="A1186" s="1035">
        <v>1178</v>
      </c>
      <c r="B1186" s="1035" t="s">
        <v>62</v>
      </c>
      <c r="C1186" s="1035" t="s">
        <v>202</v>
      </c>
      <c r="D1186" s="1117" t="s">
        <v>1128</v>
      </c>
      <c r="E1186" s="1118" t="s">
        <v>352</v>
      </c>
      <c r="F1186" s="1118" t="s">
        <v>353</v>
      </c>
      <c r="G1186" s="1118" t="s">
        <v>354</v>
      </c>
      <c r="H1186" s="1118" t="s">
        <v>355</v>
      </c>
      <c r="I1186" s="824"/>
      <c r="J1186" s="824"/>
      <c r="K1186" s="825"/>
      <c r="L1186" s="820"/>
      <c r="M1186" s="821"/>
      <c r="N1186" s="801"/>
      <c r="O1186" s="822"/>
      <c r="P1186" s="822"/>
      <c r="Q1186" s="822"/>
      <c r="R1186" s="822"/>
      <c r="S1186" s="822"/>
      <c r="T1186" s="822"/>
      <c r="U1186" s="822"/>
      <c r="V1186" s="822"/>
      <c r="W1186" s="822"/>
      <c r="X1186" s="822"/>
      <c r="Y1186" s="823"/>
      <c r="Z1186" s="823"/>
      <c r="AA1186" s="823"/>
    </row>
    <row r="1187" spans="1:34" ht="15.75" thickBot="1" x14ac:dyDescent="0.3">
      <c r="A1187" s="1035">
        <v>1179</v>
      </c>
      <c r="B1187" s="1035" t="s">
        <v>62</v>
      </c>
      <c r="C1187" s="1035" t="s">
        <v>202</v>
      </c>
      <c r="D1187" s="1119" t="s">
        <v>1129</v>
      </c>
      <c r="E1187" s="1202" t="str">
        <f>AD_Yes</f>
        <v>Yes</v>
      </c>
      <c r="I1187" s="824"/>
      <c r="J1187" s="824"/>
      <c r="K1187" s="825"/>
      <c r="L1187" s="820"/>
      <c r="M1187" s="821"/>
      <c r="N1187" s="801"/>
      <c r="O1187" s="822"/>
      <c r="P1187" s="822"/>
      <c r="Q1187" s="822"/>
      <c r="R1187" s="822"/>
      <c r="S1187" s="822"/>
      <c r="T1187" s="822"/>
      <c r="U1187" s="822"/>
      <c r="V1187" s="822"/>
      <c r="W1187" s="822"/>
      <c r="X1187" s="822"/>
      <c r="Y1187" s="823"/>
      <c r="Z1187" s="823"/>
      <c r="AA1187" s="823"/>
    </row>
    <row r="1188" spans="1:34" ht="15.75" thickBot="1" x14ac:dyDescent="0.3">
      <c r="A1188" s="1035">
        <v>1180</v>
      </c>
      <c r="B1188" s="1035"/>
      <c r="C1188" s="1035"/>
      <c r="D1188" s="1147" t="s">
        <v>483</v>
      </c>
      <c r="E1188" s="1203" t="str">
        <f>AD_Ozoneleg</f>
        <v>Yes</v>
      </c>
      <c r="F1188" s="1143">
        <f>Pol01_credits</f>
        <v>3</v>
      </c>
      <c r="G1188" s="1143">
        <f>IF(E1188=AIS_No,F1188,0)</f>
        <v>0</v>
      </c>
      <c r="H1188" s="49"/>
      <c r="I1188" s="824"/>
      <c r="J1188" s="824"/>
      <c r="K1188" s="825"/>
      <c r="L1188" s="820"/>
      <c r="M1188" s="821"/>
      <c r="N1188" s="801"/>
      <c r="O1188" s="49"/>
      <c r="P1188" s="49"/>
      <c r="Q1188" s="49"/>
      <c r="R1188" s="49"/>
      <c r="S1188" s="49"/>
      <c r="T1188" s="49"/>
      <c r="U1188" s="49"/>
      <c r="V1188" s="49"/>
      <c r="W1188" s="49"/>
      <c r="X1188" s="49"/>
      <c r="Y1188" s="49"/>
      <c r="Z1188" s="49"/>
      <c r="AA1188" s="49"/>
      <c r="AB1188" s="49"/>
      <c r="AC1188" s="49"/>
      <c r="AD1188" s="49"/>
      <c r="AE1188" s="49"/>
      <c r="AF1188" s="49"/>
      <c r="AG1188" s="49"/>
    </row>
    <row r="1189" spans="1:34" x14ac:dyDescent="0.25">
      <c r="A1189" s="1035">
        <v>1182</v>
      </c>
      <c r="B1189" s="1035"/>
      <c r="C1189" s="1035"/>
      <c r="I1189" s="824"/>
      <c r="J1189" s="824"/>
      <c r="K1189" s="825"/>
      <c r="L1189" s="820"/>
      <c r="M1189" s="821"/>
      <c r="N1189" s="801"/>
      <c r="O1189" s="822"/>
      <c r="P1189" s="822"/>
      <c r="Q1189" s="822"/>
      <c r="R1189" s="822"/>
      <c r="S1189" s="822"/>
      <c r="T1189" s="822"/>
      <c r="U1189" s="822"/>
      <c r="V1189" s="822"/>
      <c r="W1189" s="822"/>
      <c r="X1189" s="822"/>
      <c r="Y1189" s="823"/>
      <c r="Z1189" s="823"/>
      <c r="AA1189" s="823"/>
    </row>
    <row r="1190" spans="1:34" ht="15.75" thickBot="1" x14ac:dyDescent="0.3">
      <c r="A1190" s="1035">
        <v>1183</v>
      </c>
      <c r="B1190" s="1035"/>
      <c r="C1190" s="1035"/>
      <c r="D1190" s="1117" t="s">
        <v>1130</v>
      </c>
      <c r="E1190" s="1118" t="s">
        <v>352</v>
      </c>
      <c r="F1190" s="1118" t="s">
        <v>353</v>
      </c>
      <c r="G1190" s="1118" t="s">
        <v>354</v>
      </c>
      <c r="H1190" s="1204"/>
      <c r="I1190" s="824"/>
      <c r="J1190" s="824"/>
      <c r="K1190" s="825"/>
      <c r="L1190" s="820"/>
      <c r="M1190" s="821"/>
      <c r="N1190" s="801"/>
      <c r="O1190" s="49"/>
      <c r="P1190" s="49"/>
      <c r="Q1190" s="49"/>
      <c r="R1190" s="49"/>
      <c r="S1190" s="49"/>
      <c r="T1190" s="49"/>
      <c r="U1190" s="1285" t="s">
        <v>1277</v>
      </c>
      <c r="V1190" s="49"/>
      <c r="W1190" s="49"/>
      <c r="X1190" s="49"/>
      <c r="Y1190" s="49"/>
      <c r="Z1190" s="49"/>
      <c r="AA1190" s="49"/>
      <c r="AB1190" s="49"/>
      <c r="AC1190" s="49"/>
      <c r="AD1190" s="49"/>
      <c r="AE1190" s="49"/>
      <c r="AF1190" s="49"/>
      <c r="AG1190" s="49"/>
      <c r="AH1190" s="49"/>
    </row>
    <row r="1191" spans="1:34" ht="15.75" thickBot="1" x14ac:dyDescent="0.3">
      <c r="A1191" s="1035">
        <v>1184</v>
      </c>
      <c r="B1191" s="1035"/>
      <c r="C1191" s="1035"/>
      <c r="D1191" s="1119" t="s">
        <v>878</v>
      </c>
      <c r="E1191" s="1093" t="s">
        <v>360</v>
      </c>
      <c r="F1191" s="1139">
        <f>IF(OR(E1183=0,E1188=AIS_No),0,2)</f>
        <v>2</v>
      </c>
      <c r="G1191" s="1284">
        <f>IF(OR(E1191=AIS_Yes,E1192=AIS_Yes),F1191,0)*IF(U1191=AIS_No,1,IF(H1191=AA1191,R1191,IF(H1191=AB1191,S1191,IF(H1191=AC1191,T1191,1))))</f>
        <v>0</v>
      </c>
      <c r="H1191" s="1328" t="s">
        <v>16</v>
      </c>
      <c r="I1191" s="824"/>
      <c r="J1191" s="824"/>
      <c r="K1191" s="825"/>
      <c r="L1191" s="820"/>
      <c r="M1191" s="821"/>
      <c r="N1191" s="801"/>
      <c r="O1191" s="1266">
        <v>1</v>
      </c>
      <c r="P1191" s="1266">
        <v>0.5</v>
      </c>
      <c r="Q1191" s="1267">
        <v>1</v>
      </c>
      <c r="R1191" s="1258" t="str">
        <f t="shared" ref="R1191" si="78">IF($T$4=AIS_Yes,O1191,AIS_NA)</f>
        <v>N/A</v>
      </c>
      <c r="S1191" s="1259" t="str">
        <f t="shared" ref="S1191" si="79">IF($T$4=AIS_Yes,P1191,AIS_NA)</f>
        <v>N/A</v>
      </c>
      <c r="T1191" s="1074" t="str">
        <f t="shared" ref="T1191" si="80">IF($T$4=AIS_Yes,Q1191,AIS_NA)</f>
        <v>N/A</v>
      </c>
      <c r="U1191" s="1265" t="str">
        <f>IF(G1194&lt;&gt;0,AIS_No,IF(AND($T$4=AIS_Yes,OR(R1191&lt;&gt;AIS_NA,S1191&lt;&gt;AIS_NA,T1191&lt;&gt;AIS_NA)),AIS_Yes,AIS_No))</f>
        <v>No</v>
      </c>
      <c r="V1191" s="1258" t="str">
        <f>AIS_option01</f>
        <v>N/A</v>
      </c>
      <c r="W1191" s="1259" t="str">
        <f>AIS_option02_50</f>
        <v>Option 2: -50%</v>
      </c>
      <c r="X1191" s="1272" t="str">
        <f>AIS_option03</f>
        <v>N/A</v>
      </c>
      <c r="Y1191" s="1273"/>
      <c r="Z1191" s="1282"/>
      <c r="AA1191" s="1274" t="str">
        <f>IF(U1191=AIS_Yes,V1191,AIS_NA)</f>
        <v>N/A</v>
      </c>
      <c r="AB1191" s="1274" t="str">
        <f>IF(U1191=AIS_Yes,W1191,AIS_NA)</f>
        <v>N/A</v>
      </c>
      <c r="AC1191" s="1275" t="str">
        <f>IF(U1191=AIS_Yes,X1191,AIS_NA)</f>
        <v>N/A</v>
      </c>
      <c r="AD1191" s="1276" t="str">
        <f>C1182</f>
        <v>POL 01</v>
      </c>
      <c r="AE1191" s="1283" t="s">
        <v>1287</v>
      </c>
      <c r="AF1191" s="1263" t="str">
        <f>H1191</f>
        <v>N/A</v>
      </c>
      <c r="AG1191" s="768">
        <f>IF(U1191=AIS_No,1,IF(H1191=AA1191,R1191,IF(H1191=AB1191,S1191,IF(H1191=AC1191,T1191,1))))</f>
        <v>1</v>
      </c>
    </row>
    <row r="1192" spans="1:34" ht="15.75" thickBot="1" x14ac:dyDescent="0.3">
      <c r="A1192" s="1035">
        <v>1185</v>
      </c>
      <c r="B1192" s="1035"/>
      <c r="C1192" s="1035"/>
      <c r="D1192" s="1147" t="s">
        <v>877</v>
      </c>
      <c r="E1192" s="1099" t="s">
        <v>360</v>
      </c>
      <c r="F1192" s="1140"/>
      <c r="G1192" s="1205"/>
      <c r="H1192" s="1321"/>
      <c r="I1192" s="824"/>
      <c r="J1192" s="824"/>
      <c r="K1192" s="825"/>
      <c r="L1192" s="820"/>
      <c r="M1192" s="821"/>
      <c r="N1192" s="801"/>
      <c r="O1192" s="822"/>
      <c r="P1192" s="822"/>
      <c r="Q1192" s="822"/>
      <c r="R1192" s="822"/>
      <c r="S1192" s="822"/>
      <c r="T1192" s="822"/>
      <c r="U1192" s="822" t="str">
        <f>U1191</f>
        <v>No</v>
      </c>
      <c r="V1192" s="822"/>
      <c r="W1192" s="822"/>
      <c r="X1192" s="822"/>
      <c r="Y1192" s="823"/>
      <c r="Z1192" s="823"/>
      <c r="AA1192" s="823"/>
    </row>
    <row r="1193" spans="1:34" ht="15.75" thickBot="1" x14ac:dyDescent="0.3">
      <c r="A1193" s="1035">
        <v>1186</v>
      </c>
      <c r="B1193" s="1035"/>
      <c r="C1193" s="1035"/>
      <c r="I1193" s="824"/>
      <c r="J1193" s="824"/>
      <c r="K1193" s="825"/>
      <c r="L1193" s="820"/>
      <c r="M1193" s="821"/>
      <c r="N1193" s="801"/>
      <c r="O1193" s="822"/>
      <c r="P1193" s="822"/>
      <c r="Q1193" s="822"/>
      <c r="R1193" s="822"/>
      <c r="S1193" s="822"/>
      <c r="T1193" s="822"/>
      <c r="U1193" s="822"/>
      <c r="V1193" s="822"/>
      <c r="W1193" s="822"/>
      <c r="X1193" s="822"/>
      <c r="Y1193" s="823"/>
      <c r="Z1193" s="823"/>
      <c r="AA1193" s="823"/>
    </row>
    <row r="1194" spans="1:34" ht="15.75" thickBot="1" x14ac:dyDescent="0.3">
      <c r="A1194" s="1035">
        <v>1187</v>
      </c>
      <c r="B1194" s="1035"/>
      <c r="C1194" s="1035"/>
      <c r="D1194" s="1142" t="s">
        <v>879</v>
      </c>
      <c r="E1194" s="1098" t="s">
        <v>360</v>
      </c>
      <c r="F1194" s="1143">
        <f>IF(OR(E1183=0,E1188=AIS_No),0,IF(OR(E1191=AIS_Yes,E1192=AIS_Yes),0,1))</f>
        <v>1</v>
      </c>
      <c r="G1194" s="1279">
        <f>IF(E1194=AIS_Yes,F1194,0)*IF(U1194=AIS_No,1,IF(H1194=AA1194,R1194,IF(H1194=AB1194,S1194,IF(H1194=AC1194,T1194,1))))</f>
        <v>0</v>
      </c>
      <c r="H1194" s="1327" t="s">
        <v>16</v>
      </c>
      <c r="I1194" s="824"/>
      <c r="J1194" s="824"/>
      <c r="K1194" s="825"/>
      <c r="L1194" s="820"/>
      <c r="M1194" s="821"/>
      <c r="N1194" s="801"/>
      <c r="O1194" s="1266">
        <v>1</v>
      </c>
      <c r="P1194" s="1266">
        <v>0.5</v>
      </c>
      <c r="Q1194" s="1267">
        <v>1</v>
      </c>
      <c r="R1194" s="1258" t="str">
        <f t="shared" ref="R1194" si="81">IF($T$4=AIS_Yes,O1194,AIS_NA)</f>
        <v>N/A</v>
      </c>
      <c r="S1194" s="1259" t="str">
        <f t="shared" ref="S1194" si="82">IF($T$4=AIS_Yes,P1194,AIS_NA)</f>
        <v>N/A</v>
      </c>
      <c r="T1194" s="1074" t="str">
        <f t="shared" ref="T1194" si="83">IF($T$4=AIS_Yes,Q1194,AIS_NA)</f>
        <v>N/A</v>
      </c>
      <c r="U1194" s="1265" t="str">
        <f>IF(F1194=0,AIS_No,IF(AND($T$4=AIS_Yes,OR(R1194&lt;&gt;AIS_NA,S1194&lt;&gt;AIS_NA,T1194&lt;&gt;AIS_NA)),AIS_Yes,AIS_No))</f>
        <v>No</v>
      </c>
      <c r="V1194" s="1258" t="str">
        <f>AIS_option01</f>
        <v>N/A</v>
      </c>
      <c r="W1194" s="1259" t="str">
        <f>AIS_option02_50</f>
        <v>Option 2: -50%</v>
      </c>
      <c r="X1194" s="1272" t="str">
        <f>AIS_option03</f>
        <v>N/A</v>
      </c>
      <c r="Y1194" s="1273"/>
      <c r="Z1194" s="1282"/>
      <c r="AA1194" s="1274" t="str">
        <f>IF(U1194=AIS_Yes,V1194,AIS_NA)</f>
        <v>N/A</v>
      </c>
      <c r="AB1194" s="1274" t="str">
        <f>IF(U1194=AIS_Yes,W1194,AIS_NA)</f>
        <v>N/A</v>
      </c>
      <c r="AC1194" s="1275" t="str">
        <f>IF(U1194=AIS_Yes,X1194,AIS_NA)</f>
        <v>N/A</v>
      </c>
      <c r="AD1194" s="1276" t="str">
        <f>C1182</f>
        <v>POL 01</v>
      </c>
      <c r="AE1194" s="1283" t="s">
        <v>1288</v>
      </c>
      <c r="AF1194" s="1263" t="str">
        <f>H1194</f>
        <v>N/A</v>
      </c>
      <c r="AG1194" s="768">
        <f>IF(U1194=AIS_No,1,IF(H1194=AA1194,R1194,IF(H1194=AB1194,S1194,IF(H1194=AC1194,T1194,1))))</f>
        <v>1</v>
      </c>
    </row>
    <row r="1195" spans="1:34" ht="15.75" thickBot="1" x14ac:dyDescent="0.3">
      <c r="A1195" s="1035">
        <v>1188</v>
      </c>
      <c r="B1195" s="1035"/>
      <c r="C1195" s="1035"/>
      <c r="I1195" s="824"/>
      <c r="J1195" s="824"/>
      <c r="K1195" s="825"/>
      <c r="L1195" s="820"/>
      <c r="M1195" s="821"/>
      <c r="N1195" s="801"/>
      <c r="O1195" s="822"/>
      <c r="P1195" s="822"/>
      <c r="Q1195" s="822"/>
      <c r="R1195" s="822"/>
      <c r="S1195" s="822"/>
      <c r="T1195" s="822"/>
      <c r="U1195" s="822"/>
      <c r="V1195" s="822"/>
      <c r="W1195" s="822"/>
      <c r="X1195" s="822"/>
      <c r="Y1195" s="823"/>
      <c r="Z1195" s="823"/>
      <c r="AA1195" s="823"/>
    </row>
    <row r="1196" spans="1:34" ht="15.75" thickBot="1" x14ac:dyDescent="0.3">
      <c r="A1196" s="1035">
        <v>1189</v>
      </c>
      <c r="B1196" s="1035"/>
      <c r="C1196" s="1035"/>
      <c r="D1196" s="1142" t="s">
        <v>487</v>
      </c>
      <c r="E1196" s="1098" t="s">
        <v>360</v>
      </c>
      <c r="F1196" s="1143">
        <f>IF(OR(E1183=0,E1188=AIS_No),0,1)</f>
        <v>1</v>
      </c>
      <c r="G1196" s="1143">
        <f>IF(E1196=AIS_Yes,F1196,0)</f>
        <v>0</v>
      </c>
      <c r="H1196" s="49"/>
      <c r="I1196" s="824"/>
      <c r="J1196" s="824"/>
      <c r="K1196" s="825"/>
      <c r="L1196" s="820"/>
      <c r="M1196" s="821"/>
      <c r="N1196" s="801"/>
      <c r="O1196" s="822"/>
      <c r="P1196" s="822"/>
      <c r="Q1196" s="822"/>
      <c r="R1196" s="822"/>
      <c r="S1196" s="822"/>
      <c r="T1196" s="822"/>
      <c r="U1196" s="822"/>
      <c r="V1196" s="822"/>
      <c r="W1196" s="822"/>
      <c r="X1196" s="822"/>
      <c r="Y1196" s="823"/>
      <c r="Z1196" s="823"/>
      <c r="AA1196" s="823"/>
    </row>
    <row r="1197" spans="1:34" x14ac:dyDescent="0.25">
      <c r="A1197" s="1035">
        <v>1190</v>
      </c>
      <c r="B1197" s="1035" t="s">
        <v>62</v>
      </c>
      <c r="C1197" s="1048" t="s">
        <v>202</v>
      </c>
      <c r="D1197" s="1206" t="s">
        <v>484</v>
      </c>
      <c r="E1197" s="1207"/>
      <c r="F1197" s="1208">
        <v>1</v>
      </c>
      <c r="G1197" s="1208"/>
      <c r="H1197" s="1209"/>
      <c r="I1197" s="824"/>
      <c r="J1197" s="824"/>
      <c r="K1197" s="825"/>
      <c r="L1197" s="820"/>
      <c r="M1197" s="821"/>
      <c r="N1197" s="801"/>
      <c r="O1197" s="822"/>
      <c r="P1197" s="822"/>
      <c r="Q1197" s="822"/>
      <c r="R1197" s="822"/>
      <c r="S1197" s="822"/>
      <c r="T1197" s="822"/>
      <c r="U1197" s="822"/>
      <c r="V1197" s="822"/>
      <c r="W1197" s="822"/>
      <c r="X1197" s="822"/>
      <c r="Y1197" s="823"/>
      <c r="Z1197" s="823"/>
      <c r="AA1197" s="823"/>
    </row>
    <row r="1198" spans="1:34" ht="15.75" thickBot="1" x14ac:dyDescent="0.3">
      <c r="A1198" s="1035">
        <v>1191</v>
      </c>
      <c r="B1198" s="1035" t="s">
        <v>62</v>
      </c>
      <c r="C1198" s="1035" t="s">
        <v>202</v>
      </c>
      <c r="D1198" s="1117" t="s">
        <v>1133</v>
      </c>
      <c r="E1198" s="1118"/>
      <c r="I1198" s="824"/>
      <c r="J1198" s="824"/>
      <c r="K1198" s="825"/>
      <c r="L1198" s="820"/>
      <c r="M1198" s="821"/>
      <c r="N1198" s="801"/>
      <c r="O1198" s="822"/>
      <c r="P1198" s="822"/>
      <c r="Q1198" s="822"/>
      <c r="R1198" s="822"/>
      <c r="S1198" s="822"/>
      <c r="T1198" s="822"/>
      <c r="U1198" s="822"/>
      <c r="V1198" s="822"/>
      <c r="W1198" s="822"/>
      <c r="X1198" s="822"/>
      <c r="Y1198" s="823"/>
      <c r="Z1198" s="823"/>
      <c r="AA1198" s="823"/>
    </row>
    <row r="1199" spans="1:34" x14ac:dyDescent="0.25">
      <c r="A1199" s="1035">
        <v>1192</v>
      </c>
      <c r="B1199" s="1035" t="s">
        <v>62</v>
      </c>
      <c r="C1199" s="1035" t="s">
        <v>202</v>
      </c>
      <c r="D1199" s="1119" t="s">
        <v>1131</v>
      </c>
      <c r="E1199" s="1093"/>
      <c r="F1199" s="768" t="s">
        <v>1132</v>
      </c>
      <c r="I1199" s="824"/>
      <c r="J1199" s="824"/>
      <c r="K1199" s="825"/>
      <c r="L1199" s="820"/>
      <c r="M1199" s="821"/>
      <c r="N1199" s="801"/>
      <c r="O1199" s="822"/>
      <c r="P1199" s="822"/>
      <c r="Q1199" s="822"/>
      <c r="R1199" s="822"/>
      <c r="S1199" s="822"/>
      <c r="T1199" s="822"/>
      <c r="U1199" s="822"/>
      <c r="V1199" s="822"/>
      <c r="W1199" s="822"/>
      <c r="X1199" s="822"/>
      <c r="Y1199" s="823"/>
      <c r="Z1199" s="823"/>
      <c r="AA1199" s="823"/>
    </row>
    <row r="1200" spans="1:34" ht="15.75" thickBot="1" x14ac:dyDescent="0.3">
      <c r="A1200" s="1035">
        <v>1193</v>
      </c>
      <c r="B1200" s="1035" t="s">
        <v>62</v>
      </c>
      <c r="C1200" s="1035" t="s">
        <v>202</v>
      </c>
      <c r="D1200" s="1147" t="s">
        <v>1134</v>
      </c>
      <c r="E1200" s="1099"/>
      <c r="F1200" s="1210" t="s">
        <v>486</v>
      </c>
      <c r="I1200" s="824"/>
      <c r="J1200" s="824"/>
      <c r="K1200" s="825"/>
      <c r="L1200" s="820"/>
      <c r="M1200" s="821"/>
      <c r="N1200" s="801"/>
      <c r="O1200" s="822"/>
      <c r="P1200" s="822"/>
      <c r="Q1200" s="822"/>
      <c r="R1200" s="822"/>
      <c r="S1200" s="822"/>
      <c r="T1200" s="822"/>
      <c r="U1200" s="822"/>
      <c r="V1200" s="822"/>
      <c r="W1200" s="822"/>
      <c r="X1200" s="822"/>
      <c r="Y1200" s="823"/>
      <c r="Z1200" s="823"/>
      <c r="AA1200" s="823"/>
    </row>
    <row r="1201" spans="1:27" x14ac:dyDescent="0.25">
      <c r="A1201" s="1035">
        <v>1194</v>
      </c>
      <c r="B1201" s="1035" t="s">
        <v>62</v>
      </c>
      <c r="C1201" s="1035" t="s">
        <v>202</v>
      </c>
      <c r="I1201" s="824"/>
      <c r="J1201" s="824"/>
      <c r="K1201" s="825"/>
      <c r="L1201" s="820"/>
      <c r="M1201" s="821"/>
      <c r="N1201" s="801"/>
      <c r="O1201" s="822"/>
      <c r="P1201" s="822"/>
      <c r="Q1201" s="822"/>
      <c r="R1201" s="822"/>
      <c r="S1201" s="822"/>
      <c r="T1201" s="822"/>
      <c r="U1201" s="822"/>
      <c r="V1201" s="822"/>
      <c r="W1201" s="822"/>
      <c r="X1201" s="822"/>
      <c r="Y1201" s="823"/>
      <c r="Z1201" s="823"/>
      <c r="AA1201" s="823"/>
    </row>
    <row r="1202" spans="1:27" x14ac:dyDescent="0.25">
      <c r="A1202" s="1035">
        <v>1195</v>
      </c>
      <c r="B1202" s="1035" t="s">
        <v>62</v>
      </c>
      <c r="C1202" s="1035" t="s">
        <v>202</v>
      </c>
      <c r="D1202" s="1127" t="s">
        <v>356</v>
      </c>
      <c r="E1202" s="1278">
        <f>IF(G1188&gt;0,G1188,(G1191+G1194+G1196))</f>
        <v>0</v>
      </c>
      <c r="I1202" s="1029"/>
      <c r="J1202" s="824"/>
      <c r="K1202" s="825"/>
      <c r="L1202" s="820"/>
      <c r="M1202" s="941"/>
      <c r="N1202" s="801"/>
      <c r="O1202" s="822"/>
      <c r="P1202" s="822"/>
      <c r="Q1202" s="822"/>
      <c r="R1202" s="822"/>
      <c r="S1202" s="822"/>
      <c r="T1202" s="822"/>
      <c r="U1202" s="822"/>
      <c r="V1202" s="822"/>
      <c r="W1202" s="822"/>
      <c r="X1202" s="822"/>
      <c r="Y1202" s="942"/>
      <c r="Z1202" s="942"/>
      <c r="AA1202" s="942"/>
    </row>
    <row r="1203" spans="1:27" x14ac:dyDescent="0.25">
      <c r="A1203" s="1035">
        <v>1196</v>
      </c>
      <c r="B1203" s="1035" t="s">
        <v>62</v>
      </c>
      <c r="C1203" s="1035" t="s">
        <v>202</v>
      </c>
      <c r="D1203" s="1129" t="s">
        <v>86</v>
      </c>
      <c r="E1203" s="1130">
        <f>Pol01_20</f>
        <v>0</v>
      </c>
      <c r="I1203" s="824"/>
      <c r="J1203" s="824"/>
      <c r="K1203" s="825"/>
      <c r="L1203" s="820"/>
      <c r="M1203" s="941"/>
      <c r="N1203" s="801"/>
      <c r="O1203" s="822"/>
      <c r="P1203" s="822"/>
      <c r="Q1203" s="822"/>
      <c r="R1203" s="822"/>
      <c r="S1203" s="822"/>
      <c r="T1203" s="822"/>
      <c r="U1203" s="822"/>
      <c r="V1203" s="822"/>
      <c r="W1203" s="822"/>
      <c r="X1203" s="822"/>
      <c r="Y1203" s="942"/>
      <c r="Z1203" s="942"/>
      <c r="AA1203" s="942"/>
    </row>
    <row r="1204" spans="1:27" x14ac:dyDescent="0.25">
      <c r="A1204" s="1035">
        <v>1197</v>
      </c>
      <c r="B1204" s="1035" t="s">
        <v>62</v>
      </c>
      <c r="C1204" s="1035" t="s">
        <v>202</v>
      </c>
      <c r="D1204" s="1131" t="s">
        <v>357</v>
      </c>
      <c r="E1204" s="1128">
        <v>0</v>
      </c>
      <c r="I1204" s="824"/>
      <c r="J1204" s="824"/>
      <c r="K1204" s="825"/>
      <c r="L1204" s="820"/>
      <c r="M1204" s="941"/>
      <c r="N1204" s="801"/>
      <c r="O1204" s="822"/>
      <c r="P1204" s="822"/>
      <c r="Q1204" s="822"/>
      <c r="R1204" s="822"/>
      <c r="S1204" s="822"/>
      <c r="T1204" s="822"/>
      <c r="U1204" s="822"/>
      <c r="V1204" s="822"/>
      <c r="W1204" s="822"/>
      <c r="X1204" s="822"/>
      <c r="Y1204" s="942"/>
      <c r="Z1204" s="942"/>
      <c r="AA1204" s="942"/>
    </row>
    <row r="1205" spans="1:27" x14ac:dyDescent="0.25">
      <c r="A1205" s="1035">
        <v>1198</v>
      </c>
      <c r="B1205" s="1035" t="s">
        <v>62</v>
      </c>
      <c r="C1205" s="1035" t="s">
        <v>202</v>
      </c>
      <c r="D1205" s="1132" t="s">
        <v>55</v>
      </c>
      <c r="E1205" s="1133" t="s">
        <v>16</v>
      </c>
      <c r="F1205" s="1134"/>
      <c r="G1205" s="1135"/>
      <c r="I1205" s="824"/>
      <c r="J1205" s="824"/>
      <c r="K1205" s="825"/>
      <c r="L1205" s="820"/>
      <c r="M1205" s="941"/>
      <c r="N1205" s="801"/>
      <c r="O1205" s="822"/>
      <c r="P1205" s="822"/>
      <c r="Q1205" s="822"/>
      <c r="R1205" s="822"/>
      <c r="S1205" s="822"/>
      <c r="T1205" s="822"/>
      <c r="U1205" s="822"/>
      <c r="V1205" s="822"/>
      <c r="W1205" s="822"/>
      <c r="X1205" s="822"/>
      <c r="Y1205" s="942"/>
      <c r="Z1205" s="942"/>
      <c r="AA1205" s="942"/>
    </row>
    <row r="1206" spans="1:27" x14ac:dyDescent="0.25">
      <c r="A1206" s="1035">
        <v>1199</v>
      </c>
      <c r="B1206" s="1035" t="s">
        <v>62</v>
      </c>
      <c r="C1206" s="1035" t="s">
        <v>202</v>
      </c>
      <c r="I1206" s="824"/>
      <c r="J1206" s="824"/>
      <c r="K1206" s="825"/>
      <c r="L1206" s="820"/>
      <c r="M1206" s="941"/>
      <c r="N1206" s="801"/>
      <c r="O1206" s="822"/>
      <c r="P1206" s="822"/>
      <c r="Q1206" s="822"/>
      <c r="R1206" s="822"/>
      <c r="S1206" s="822"/>
      <c r="T1206" s="822"/>
      <c r="U1206" s="822"/>
      <c r="V1206" s="822"/>
      <c r="W1206" s="822"/>
      <c r="X1206" s="822"/>
      <c r="Y1206" s="942"/>
      <c r="Z1206" s="942"/>
      <c r="AA1206" s="942"/>
    </row>
    <row r="1207" spans="1:27" x14ac:dyDescent="0.25">
      <c r="A1207" s="1035">
        <v>1200</v>
      </c>
      <c r="B1207" s="1035" t="s">
        <v>62</v>
      </c>
      <c r="C1207" s="1035" t="s">
        <v>202</v>
      </c>
      <c r="D1207" s="1136" t="s">
        <v>359</v>
      </c>
      <c r="E1207" s="1136" t="s">
        <v>977</v>
      </c>
      <c r="F1207" s="1136" t="str">
        <f>HLOOKUP(C1207,'Assessment References'!$H$512:$BG$513,2,FALSE)</f>
        <v/>
      </c>
      <c r="G1207" s="1137"/>
      <c r="H1207" s="1138"/>
      <c r="I1207" s="824"/>
      <c r="J1207" s="824"/>
      <c r="K1207" s="825"/>
      <c r="L1207" s="820"/>
      <c r="M1207" s="941"/>
      <c r="N1207" s="801"/>
      <c r="O1207" s="822"/>
      <c r="P1207" s="822"/>
      <c r="Q1207" s="822"/>
      <c r="R1207" s="822"/>
      <c r="S1207" s="822"/>
      <c r="T1207" s="822"/>
      <c r="U1207" s="822"/>
      <c r="V1207" s="822"/>
      <c r="W1207" s="822"/>
      <c r="X1207" s="822"/>
      <c r="Y1207" s="942"/>
      <c r="Z1207" s="942"/>
      <c r="AA1207" s="942"/>
    </row>
    <row r="1208" spans="1:27" x14ac:dyDescent="0.25">
      <c r="A1208" s="1035">
        <v>1201</v>
      </c>
      <c r="B1208" s="1035" t="s">
        <v>62</v>
      </c>
      <c r="C1208" s="1035" t="s">
        <v>202</v>
      </c>
      <c r="D1208" s="1363"/>
      <c r="E1208" s="1352"/>
      <c r="F1208" s="1352"/>
      <c r="G1208" s="1352"/>
      <c r="H1208" s="1353"/>
      <c r="I1208" s="824"/>
      <c r="J1208" s="824"/>
      <c r="K1208" s="825"/>
      <c r="L1208" s="820"/>
      <c r="M1208" s="941"/>
      <c r="N1208" s="801"/>
      <c r="O1208" s="822"/>
      <c r="P1208" s="822"/>
      <c r="Q1208" s="822"/>
      <c r="R1208" s="822"/>
      <c r="S1208" s="822"/>
      <c r="T1208" s="822"/>
      <c r="U1208" s="822"/>
      <c r="V1208" s="822"/>
      <c r="W1208" s="822"/>
      <c r="X1208" s="822"/>
      <c r="Y1208" s="942"/>
      <c r="Z1208" s="942"/>
      <c r="AA1208" s="942"/>
    </row>
    <row r="1209" spans="1:27" x14ac:dyDescent="0.25">
      <c r="A1209" s="1035">
        <v>1202</v>
      </c>
      <c r="B1209" s="1035" t="s">
        <v>62</v>
      </c>
      <c r="C1209" s="1035" t="s">
        <v>202</v>
      </c>
      <c r="D1209" s="1354"/>
      <c r="E1209" s="1355"/>
      <c r="F1209" s="1355"/>
      <c r="G1209" s="1355"/>
      <c r="H1209" s="1356"/>
      <c r="I1209" s="824"/>
      <c r="J1209" s="824"/>
      <c r="K1209" s="825"/>
      <c r="L1209" s="820"/>
      <c r="M1209" s="941"/>
      <c r="N1209" s="801"/>
      <c r="O1209" s="822"/>
      <c r="P1209" s="822"/>
      <c r="Q1209" s="822"/>
      <c r="R1209" s="822"/>
      <c r="S1209" s="822"/>
      <c r="T1209" s="822"/>
      <c r="U1209" s="822"/>
      <c r="V1209" s="822"/>
      <c r="W1209" s="822"/>
      <c r="X1209" s="822"/>
      <c r="Y1209" s="942"/>
      <c r="Z1209" s="942"/>
      <c r="AA1209" s="942"/>
    </row>
    <row r="1210" spans="1:27" x14ac:dyDescent="0.25">
      <c r="A1210" s="1035">
        <v>1203</v>
      </c>
      <c r="B1210" s="1035" t="s">
        <v>62</v>
      </c>
      <c r="C1210" s="1035" t="s">
        <v>202</v>
      </c>
      <c r="D1210" s="1354"/>
      <c r="E1210" s="1355"/>
      <c r="F1210" s="1355"/>
      <c r="G1210" s="1355"/>
      <c r="H1210" s="1356"/>
      <c r="I1210" s="824"/>
      <c r="J1210" s="824"/>
      <c r="K1210" s="825"/>
      <c r="L1210" s="820"/>
      <c r="M1210" s="941"/>
      <c r="N1210" s="801"/>
      <c r="O1210" s="822"/>
      <c r="P1210" s="822"/>
      <c r="Q1210" s="822"/>
      <c r="R1210" s="822"/>
      <c r="S1210" s="822"/>
      <c r="T1210" s="822"/>
      <c r="U1210" s="822"/>
      <c r="V1210" s="822"/>
      <c r="W1210" s="822"/>
      <c r="X1210" s="822"/>
      <c r="Y1210" s="942"/>
      <c r="Z1210" s="942"/>
      <c r="AA1210" s="942"/>
    </row>
    <row r="1211" spans="1:27" x14ac:dyDescent="0.25">
      <c r="A1211" s="1035">
        <v>1204</v>
      </c>
      <c r="B1211" s="1035" t="s">
        <v>62</v>
      </c>
      <c r="C1211" s="1035" t="s">
        <v>202</v>
      </c>
      <c r="D1211" s="1364"/>
      <c r="E1211" s="1358"/>
      <c r="F1211" s="1358"/>
      <c r="G1211" s="1358"/>
      <c r="H1211" s="1359"/>
      <c r="I1211" s="824"/>
      <c r="J1211" s="824"/>
      <c r="K1211" s="825"/>
      <c r="L1211" s="820"/>
      <c r="M1211" s="941"/>
      <c r="N1211" s="801"/>
      <c r="O1211" s="822"/>
      <c r="P1211" s="822"/>
      <c r="Q1211" s="822"/>
      <c r="R1211" s="822"/>
      <c r="S1211" s="822"/>
      <c r="T1211" s="822"/>
      <c r="U1211" s="822"/>
      <c r="V1211" s="822"/>
      <c r="W1211" s="822"/>
      <c r="X1211" s="822"/>
      <c r="Y1211" s="942"/>
      <c r="Z1211" s="942"/>
      <c r="AA1211" s="942"/>
    </row>
    <row r="1212" spans="1:27" x14ac:dyDescent="0.25">
      <c r="A1212" s="1035">
        <v>1205</v>
      </c>
      <c r="B1212" s="1035" t="s">
        <v>62</v>
      </c>
      <c r="C1212" s="1035" t="s">
        <v>202</v>
      </c>
      <c r="D1212" s="1364"/>
      <c r="E1212" s="1358"/>
      <c r="F1212" s="1358"/>
      <c r="G1212" s="1358"/>
      <c r="H1212" s="1359"/>
      <c r="I1212" s="824"/>
      <c r="J1212" s="824"/>
      <c r="K1212" s="825"/>
      <c r="L1212" s="820"/>
      <c r="M1212" s="941"/>
      <c r="N1212" s="801"/>
      <c r="O1212" s="822"/>
      <c r="P1212" s="822"/>
      <c r="Q1212" s="822"/>
      <c r="R1212" s="822"/>
      <c r="S1212" s="822"/>
      <c r="T1212" s="822"/>
      <c r="U1212" s="822"/>
      <c r="V1212" s="822"/>
      <c r="W1212" s="822"/>
      <c r="X1212" s="822"/>
      <c r="Y1212" s="942"/>
      <c r="Z1212" s="942"/>
      <c r="AA1212" s="942"/>
    </row>
    <row r="1213" spans="1:27" x14ac:dyDescent="0.25">
      <c r="A1213" s="1035">
        <v>1206</v>
      </c>
      <c r="B1213" s="1035" t="s">
        <v>62</v>
      </c>
      <c r="C1213" s="1035" t="s">
        <v>202</v>
      </c>
      <c r="D1213" s="1360"/>
      <c r="E1213" s="1361"/>
      <c r="F1213" s="1361"/>
      <c r="G1213" s="1361"/>
      <c r="H1213" s="1362"/>
      <c r="I1213" s="824"/>
      <c r="J1213" s="824"/>
      <c r="K1213" s="825"/>
      <c r="L1213" s="820"/>
      <c r="M1213" s="941"/>
      <c r="N1213" s="801"/>
      <c r="O1213" s="822"/>
      <c r="P1213" s="822"/>
      <c r="Q1213" s="822"/>
      <c r="R1213" s="822"/>
      <c r="S1213" s="822"/>
      <c r="T1213" s="822"/>
      <c r="U1213" s="822"/>
      <c r="V1213" s="822"/>
      <c r="W1213" s="822"/>
      <c r="X1213" s="822"/>
      <c r="Y1213" s="942"/>
      <c r="Z1213" s="942"/>
      <c r="AA1213" s="942"/>
    </row>
    <row r="1214" spans="1:27" ht="15.75" thickBot="1" x14ac:dyDescent="0.3">
      <c r="A1214" s="1035">
        <v>1207</v>
      </c>
      <c r="B1214" s="1035" t="s">
        <v>62</v>
      </c>
      <c r="C1214" s="1035" t="s">
        <v>202</v>
      </c>
      <c r="D1214" s="1193"/>
      <c r="E1214" s="1193"/>
      <c r="F1214" s="1156"/>
      <c r="G1214" s="1156"/>
      <c r="H1214" s="1156"/>
      <c r="I1214" s="824"/>
      <c r="J1214" s="824"/>
      <c r="K1214" s="825"/>
      <c r="L1214" s="894"/>
      <c r="M1214" s="941"/>
      <c r="N1214" s="801"/>
      <c r="O1214" s="822"/>
      <c r="P1214" s="822"/>
      <c r="Q1214" s="822"/>
      <c r="R1214" s="822"/>
      <c r="S1214" s="822"/>
      <c r="T1214" s="822"/>
      <c r="U1214" s="822"/>
      <c r="V1214" s="822"/>
      <c r="W1214" s="822"/>
      <c r="X1214" s="822"/>
      <c r="Y1214" s="942"/>
      <c r="Z1214" s="942"/>
      <c r="AA1214" s="942"/>
    </row>
    <row r="1215" spans="1:27" ht="15.75" thickBot="1" x14ac:dyDescent="0.3">
      <c r="A1215" s="1047">
        <v>1208</v>
      </c>
      <c r="B1215" s="1047" t="s">
        <v>62</v>
      </c>
      <c r="C1215" s="940" t="s">
        <v>203</v>
      </c>
      <c r="D1215" s="1201" t="s">
        <v>926</v>
      </c>
      <c r="E1215" s="1211"/>
      <c r="F1215" s="1211"/>
      <c r="G1215" s="1212"/>
      <c r="H1215" s="1167" t="str">
        <f>IF(Pol02_credits=AIS_credit00,AIS_statement32,"")</f>
        <v/>
      </c>
      <c r="I1215" s="919"/>
      <c r="J1215" s="919"/>
      <c r="K1215" s="825"/>
      <c r="L1215" s="804" t="str">
        <f>C1215</f>
        <v>POL 02</v>
      </c>
      <c r="M1215" s="941"/>
      <c r="N1215" s="801"/>
      <c r="O1215" s="822"/>
      <c r="P1215" s="822"/>
      <c r="Q1215" s="822"/>
      <c r="R1215" s="822"/>
      <c r="S1215" s="822"/>
      <c r="T1215" s="822"/>
      <c r="U1215" s="822"/>
      <c r="V1215" s="822"/>
      <c r="W1215" s="822"/>
      <c r="X1215" s="822"/>
      <c r="Y1215" s="942"/>
      <c r="Z1215" s="942"/>
      <c r="AA1215" s="942"/>
    </row>
    <row r="1216" spans="1:27" ht="15.75" thickBot="1" x14ac:dyDescent="0.3">
      <c r="A1216" s="1035">
        <v>1209</v>
      </c>
      <c r="B1216" s="1035" t="s">
        <v>62</v>
      </c>
      <c r="C1216" s="1035" t="s">
        <v>203</v>
      </c>
      <c r="D1216" s="1107" t="s">
        <v>17</v>
      </c>
      <c r="E1216" s="1108">
        <f>Pol02_credits</f>
        <v>3</v>
      </c>
      <c r="F1216" s="1109"/>
      <c r="G1216" s="1110" t="s">
        <v>85</v>
      </c>
      <c r="H1216" s="1111">
        <f>Pol02_26</f>
        <v>1.846153846153846E-2</v>
      </c>
      <c r="I1216" s="824"/>
      <c r="J1216" s="824"/>
      <c r="K1216" s="825"/>
      <c r="L1216" s="943">
        <f>IF(OR($E$1221="",$E$1222="",$E$1223="",$E$1224=""),0,$L$1217)</f>
        <v>0</v>
      </c>
      <c r="M1216" s="941"/>
      <c r="N1216" s="801"/>
      <c r="O1216" s="822"/>
      <c r="P1216" s="822"/>
      <c r="Q1216" s="822"/>
      <c r="R1216" s="822"/>
      <c r="S1216" s="822"/>
      <c r="T1216" s="822"/>
      <c r="U1216" s="822"/>
      <c r="V1216" s="822"/>
      <c r="W1216" s="822"/>
      <c r="X1216" s="822"/>
      <c r="Y1216" s="942"/>
      <c r="Z1216" s="942"/>
      <c r="AA1216" s="942"/>
    </row>
    <row r="1217" spans="1:33" ht="15.75" thickBot="1" x14ac:dyDescent="0.3">
      <c r="A1217" s="1035">
        <v>1210</v>
      </c>
      <c r="B1217" s="1035" t="s">
        <v>62</v>
      </c>
      <c r="C1217" s="1035" t="s">
        <v>203</v>
      </c>
      <c r="D1217" s="1112" t="s">
        <v>349</v>
      </c>
      <c r="E1217" s="1113">
        <v>0</v>
      </c>
      <c r="F1217" s="1114"/>
      <c r="G1217" s="1115" t="s">
        <v>350</v>
      </c>
      <c r="H1217" s="1116" t="s">
        <v>15</v>
      </c>
      <c r="I1217" s="824"/>
      <c r="J1217" s="824"/>
      <c r="K1217" s="825"/>
      <c r="L1217" s="944">
        <f>MAX($L$1218,$L$1219)</f>
        <v>0</v>
      </c>
      <c r="M1217" s="941"/>
      <c r="N1217" s="801"/>
      <c r="O1217" s="822"/>
      <c r="P1217" s="822"/>
      <c r="Q1217" s="822"/>
      <c r="R1217" s="822"/>
      <c r="S1217" s="822"/>
      <c r="T1217" s="822"/>
      <c r="U1217" s="822"/>
      <c r="V1217" s="822"/>
      <c r="W1217" s="822"/>
      <c r="X1217" s="822"/>
      <c r="Y1217" s="942"/>
      <c r="Z1217" s="942"/>
      <c r="AA1217" s="942"/>
    </row>
    <row r="1218" spans="1:33" x14ac:dyDescent="0.25">
      <c r="A1218" s="1035">
        <v>1211</v>
      </c>
      <c r="B1218" s="1035" t="s">
        <v>62</v>
      </c>
      <c r="C1218" s="1035" t="s">
        <v>203</v>
      </c>
      <c r="I1218" s="824"/>
      <c r="J1218" s="824"/>
      <c r="K1218" s="825"/>
      <c r="L1218" s="945">
        <f>IF(OR(E1221="",E1222="",E1223=""),0,IF(MAX(E1221,E1222,E1223)&lt;=L1223,3,IF(MAX(E1221,E1222,E1223)&lt;=L1222,2,IF(MAX(E1221,E1222,E1223)&lt;=L1221,1,0))))</f>
        <v>0</v>
      </c>
      <c r="M1218" s="941"/>
      <c r="N1218" s="801"/>
      <c r="O1218" s="822"/>
      <c r="P1218" s="822"/>
      <c r="Q1218" s="822"/>
      <c r="R1218" s="822"/>
      <c r="S1218" s="822"/>
      <c r="T1218" s="822"/>
      <c r="U1218" s="822"/>
      <c r="V1218" s="822"/>
      <c r="W1218" s="822"/>
      <c r="X1218" s="822"/>
      <c r="Y1218" s="942"/>
      <c r="Z1218" s="942"/>
      <c r="AA1218" s="942"/>
    </row>
    <row r="1219" spans="1:33" ht="15.75" thickBot="1" x14ac:dyDescent="0.3">
      <c r="A1219" s="1035">
        <v>1212</v>
      </c>
      <c r="B1219" s="1035" t="s">
        <v>62</v>
      </c>
      <c r="C1219" s="1035" t="s">
        <v>203</v>
      </c>
      <c r="D1219" s="1213" t="s">
        <v>351</v>
      </c>
      <c r="E1219" s="1118" t="s">
        <v>352</v>
      </c>
      <c r="H1219" s="1118" t="s">
        <v>355</v>
      </c>
      <c r="I1219" s="824"/>
      <c r="J1219" s="824"/>
      <c r="K1219" s="825"/>
      <c r="L1219" s="946">
        <f>IF(E1227=AIS_NA,0,IF(E1227=L1227,2,IF(E1227=L1226,1,0)))</f>
        <v>0</v>
      </c>
      <c r="M1219" s="941"/>
      <c r="N1219" s="801"/>
      <c r="O1219" s="49"/>
      <c r="P1219" s="49"/>
      <c r="Q1219" s="49"/>
      <c r="R1219" s="49"/>
      <c r="S1219" s="49"/>
      <c r="T1219" s="49"/>
      <c r="U1219" s="49"/>
      <c r="V1219" s="49"/>
      <c r="W1219" s="49"/>
      <c r="X1219" s="49"/>
      <c r="Y1219" s="49"/>
      <c r="Z1219" s="49"/>
      <c r="AA1219" s="49"/>
      <c r="AB1219" s="49"/>
      <c r="AC1219" s="49"/>
      <c r="AD1219" s="49"/>
      <c r="AE1219" s="49"/>
      <c r="AF1219" s="49"/>
      <c r="AG1219" s="49"/>
    </row>
    <row r="1220" spans="1:33" ht="15.75" thickBot="1" x14ac:dyDescent="0.3">
      <c r="A1220" s="1035">
        <v>1213</v>
      </c>
      <c r="B1220" s="1035" t="s">
        <v>62</v>
      </c>
      <c r="C1220" s="1035" t="s">
        <v>203</v>
      </c>
      <c r="D1220" s="1119" t="s">
        <v>493</v>
      </c>
      <c r="E1220" s="1093" t="s">
        <v>360</v>
      </c>
      <c r="F1220" s="768" t="s">
        <v>486</v>
      </c>
      <c r="H1220" s="1333" t="s">
        <v>16</v>
      </c>
      <c r="I1220" s="824"/>
      <c r="J1220" s="824"/>
      <c r="K1220" s="825"/>
      <c r="L1220" s="945" t="s">
        <v>567</v>
      </c>
      <c r="M1220" s="941"/>
      <c r="N1220" s="801"/>
      <c r="O1220" s="1266">
        <v>1</v>
      </c>
      <c r="P1220" s="1266">
        <v>0.5</v>
      </c>
      <c r="Q1220" s="1267">
        <v>1</v>
      </c>
      <c r="R1220" s="1258" t="str">
        <f t="shared" ref="R1220" si="84">IF($T$4=AIS_Yes,O1220,AIS_NA)</f>
        <v>N/A</v>
      </c>
      <c r="S1220" s="1259" t="str">
        <f t="shared" ref="S1220" si="85">IF($T$4=AIS_Yes,P1220,AIS_NA)</f>
        <v>N/A</v>
      </c>
      <c r="T1220" s="1074" t="str">
        <f t="shared" ref="T1220" si="86">IF($T$4=AIS_Yes,Q1220,AIS_NA)</f>
        <v>N/A</v>
      </c>
      <c r="U1220" s="1265" t="str">
        <f>IF(AND($T$4=AIS_Yes,OR(R1220&lt;&gt;AIS_NA,S1220&lt;&gt;AIS_NA,T1220&lt;&gt;AIS_NA)),AIS_Yes,AIS_No)</f>
        <v>No</v>
      </c>
      <c r="V1220" s="1258" t="str">
        <f>AIS_option01</f>
        <v>N/A</v>
      </c>
      <c r="W1220" s="1259" t="str">
        <f>AIS_option02_50</f>
        <v>Option 2: -50%</v>
      </c>
      <c r="X1220" s="1272" t="str">
        <f>AIS_option03</f>
        <v>N/A</v>
      </c>
      <c r="Y1220" s="1273"/>
      <c r="Z1220" s="1282"/>
      <c r="AA1220" s="1274" t="str">
        <f>IF(U1220=AIS_Yes,V1220,AIS_NA)</f>
        <v>N/A</v>
      </c>
      <c r="AB1220" s="1274" t="str">
        <f>IF(U1220=AIS_Yes,W1220,AIS_NA)</f>
        <v>N/A</v>
      </c>
      <c r="AC1220" s="1275" t="str">
        <f>IF(U1220=AIS_Yes,X1220,AIS_NA)</f>
        <v>N/A</v>
      </c>
      <c r="AD1220" s="1276" t="str">
        <f>C1220</f>
        <v>POL 02</v>
      </c>
      <c r="AE1220" s="1283" t="str">
        <f>D1215</f>
        <v>NOx emissions</v>
      </c>
      <c r="AF1220" s="1263" t="str">
        <f>H1220</f>
        <v>N/A</v>
      </c>
      <c r="AG1220" s="768">
        <f>IF(U1220=AIS_No,1,IF(H1220=AA1220,R1220,IF(H1220=AB1220,S1220,IF(H1220=AC1220,T1220,1))))</f>
        <v>1</v>
      </c>
    </row>
    <row r="1221" spans="1:33" x14ac:dyDescent="0.25">
      <c r="A1221" s="1035">
        <v>1214</v>
      </c>
      <c r="B1221" s="1035" t="s">
        <v>62</v>
      </c>
      <c r="C1221" s="1035" t="s">
        <v>203</v>
      </c>
      <c r="D1221" s="1121" t="s">
        <v>558</v>
      </c>
      <c r="E1221" s="1286"/>
      <c r="F1221" s="768" t="s">
        <v>491</v>
      </c>
      <c r="G1221" s="1145" t="str">
        <f>IF(AND($E$1220&lt;&gt;"Please select",$E$1227&lt;&gt;"Please select",E1221=""),"If data not available then insert INA (i.e. Indicator not assessed)","")</f>
        <v/>
      </c>
      <c r="I1221" s="1029"/>
      <c r="K1221" s="783"/>
      <c r="L1221" s="947">
        <f>IF(E1220=L1231,0,IF(E1220=L1220,120,100))</f>
        <v>0</v>
      </c>
      <c r="M1221" s="776"/>
      <c r="N1221" s="801"/>
      <c r="O1221" s="822"/>
      <c r="P1221" s="822"/>
      <c r="Q1221" s="822"/>
      <c r="R1221" s="822"/>
      <c r="S1221" s="822"/>
      <c r="T1221" s="822"/>
      <c r="U1221" s="822"/>
      <c r="V1221" s="822"/>
      <c r="W1221" s="822"/>
      <c r="X1221" s="822"/>
      <c r="Y1221" s="942"/>
      <c r="Z1221" s="942"/>
      <c r="AA1221" s="942"/>
    </row>
    <row r="1222" spans="1:33" x14ac:dyDescent="0.25">
      <c r="A1222" s="1035">
        <v>1215</v>
      </c>
      <c r="B1222" s="1035" t="s">
        <v>62</v>
      </c>
      <c r="C1222" s="1035" t="s">
        <v>203</v>
      </c>
      <c r="D1222" s="1121" t="s">
        <v>569</v>
      </c>
      <c r="E1222" s="505"/>
      <c r="F1222" s="768" t="s">
        <v>491</v>
      </c>
      <c r="G1222" s="1145" t="str">
        <f t="shared" ref="G1222:G1226" si="87">IF(AND($E$1220&lt;&gt;"Please select",$E$1227&lt;&gt;"Please select",E1222=""),"If data not available then insert INA (i.e. Indicator not assessed)","")</f>
        <v/>
      </c>
      <c r="I1222" s="1029"/>
      <c r="K1222" s="783"/>
      <c r="L1222" s="947">
        <f>IF(E1220=L1231,0,IF(E1220=L1220,80,70))</f>
        <v>0</v>
      </c>
      <c r="M1222" s="776"/>
      <c r="N1222" s="801"/>
    </row>
    <row r="1223" spans="1:33" x14ac:dyDescent="0.25">
      <c r="A1223" s="1035">
        <v>1216</v>
      </c>
      <c r="B1223" s="1035" t="s">
        <v>62</v>
      </c>
      <c r="C1223" s="1035" t="s">
        <v>203</v>
      </c>
      <c r="D1223" s="1121" t="s">
        <v>492</v>
      </c>
      <c r="E1223" s="505"/>
      <c r="F1223" s="768" t="s">
        <v>491</v>
      </c>
      <c r="G1223" s="1145" t="str">
        <f t="shared" si="87"/>
        <v/>
      </c>
      <c r="I1223" s="824"/>
      <c r="J1223" s="824"/>
      <c r="K1223" s="825"/>
      <c r="L1223" s="946">
        <f>IF(E1220=L1231,0,IF(E1220=L1220,50,40))</f>
        <v>0</v>
      </c>
      <c r="M1223" s="941"/>
      <c r="N1223" s="801"/>
      <c r="O1223" s="822"/>
      <c r="P1223" s="822"/>
      <c r="Q1223" s="822"/>
      <c r="R1223" s="822"/>
      <c r="S1223" s="822"/>
      <c r="T1223" s="822"/>
      <c r="U1223" s="822"/>
      <c r="V1223" s="822"/>
      <c r="W1223" s="822"/>
      <c r="X1223" s="822"/>
      <c r="Y1223" s="942"/>
      <c r="Z1223" s="942"/>
      <c r="AA1223" s="942"/>
    </row>
    <row r="1224" spans="1:33" ht="15.75" thickBot="1" x14ac:dyDescent="0.3">
      <c r="A1224" s="1035">
        <v>1217</v>
      </c>
      <c r="B1224" s="1035" t="s">
        <v>62</v>
      </c>
      <c r="C1224" s="1035" t="s">
        <v>203</v>
      </c>
      <c r="D1224" s="1121" t="s">
        <v>1095</v>
      </c>
      <c r="E1224" s="505"/>
      <c r="F1224" s="768" t="s">
        <v>1092</v>
      </c>
      <c r="G1224" s="1145" t="str">
        <f t="shared" si="87"/>
        <v/>
      </c>
      <c r="I1224" s="1029"/>
      <c r="K1224" s="825"/>
      <c r="L1224" s="820"/>
      <c r="M1224" s="941"/>
      <c r="N1224" s="801"/>
      <c r="O1224" s="822"/>
      <c r="P1224" s="822"/>
      <c r="Q1224" s="822"/>
      <c r="R1224" s="822"/>
      <c r="S1224" s="822"/>
      <c r="T1224" s="822"/>
      <c r="U1224" s="822"/>
      <c r="V1224" s="822"/>
      <c r="W1224" s="822"/>
      <c r="X1224" s="822"/>
      <c r="Y1224" s="942"/>
      <c r="Z1224" s="942"/>
      <c r="AA1224" s="942"/>
    </row>
    <row r="1225" spans="1:33" x14ac:dyDescent="0.25">
      <c r="A1225" s="1035">
        <v>1218</v>
      </c>
      <c r="B1225" s="1035"/>
      <c r="C1225" s="1035"/>
      <c r="D1225" s="1150" t="s">
        <v>1096</v>
      </c>
      <c r="E1225" s="1287"/>
      <c r="F1225" s="768" t="s">
        <v>1092</v>
      </c>
      <c r="G1225" s="1145" t="str">
        <f t="shared" si="87"/>
        <v/>
      </c>
      <c r="I1225" s="1029"/>
      <c r="K1225" s="825"/>
      <c r="L1225" s="945" t="s">
        <v>360</v>
      </c>
      <c r="M1225" s="941"/>
      <c r="N1225" s="801"/>
      <c r="O1225" s="822"/>
      <c r="P1225" s="822"/>
      <c r="Q1225" s="822"/>
      <c r="R1225" s="822"/>
      <c r="S1225" s="822"/>
      <c r="T1225" s="822"/>
      <c r="U1225" s="822"/>
      <c r="V1225" s="822"/>
      <c r="W1225" s="822"/>
      <c r="X1225" s="822"/>
      <c r="Y1225" s="942"/>
      <c r="Z1225" s="942"/>
      <c r="AA1225" s="942"/>
    </row>
    <row r="1226" spans="1:33" x14ac:dyDescent="0.25">
      <c r="A1226" s="1035">
        <v>1219</v>
      </c>
      <c r="B1226" s="1035"/>
      <c r="C1226" s="1035"/>
      <c r="D1226" s="1150" t="s">
        <v>1097</v>
      </c>
      <c r="E1226" s="1287"/>
      <c r="F1226" s="768" t="s">
        <v>1092</v>
      </c>
      <c r="G1226" s="1145" t="str">
        <f t="shared" si="87"/>
        <v/>
      </c>
      <c r="I1226" s="1029"/>
      <c r="K1226" s="825"/>
      <c r="L1226" s="947">
        <f>IF($E$1220=L1220,2,4)</f>
        <v>4</v>
      </c>
      <c r="M1226" s="941"/>
      <c r="N1226" s="801"/>
      <c r="O1226" s="822"/>
      <c r="P1226" s="822"/>
      <c r="Q1226" s="822"/>
      <c r="R1226" s="822"/>
      <c r="S1226" s="822"/>
      <c r="T1226" s="822"/>
      <c r="U1226" s="822"/>
      <c r="V1226" s="822"/>
      <c r="W1226" s="822"/>
      <c r="X1226" s="822"/>
      <c r="Y1226" s="942"/>
      <c r="Z1226" s="942"/>
      <c r="AA1226" s="942"/>
    </row>
    <row r="1227" spans="1:33" ht="15.75" thickBot="1" x14ac:dyDescent="0.3">
      <c r="A1227" s="1035">
        <v>1220</v>
      </c>
      <c r="B1227" s="1035" t="s">
        <v>62</v>
      </c>
      <c r="C1227" s="1035" t="s">
        <v>203</v>
      </c>
      <c r="D1227" s="1123" t="s">
        <v>494</v>
      </c>
      <c r="E1227" s="1092" t="s">
        <v>360</v>
      </c>
      <c r="G1227" s="265"/>
      <c r="I1227" s="824"/>
      <c r="J1227" s="824"/>
      <c r="K1227" s="825"/>
      <c r="L1227" s="947">
        <f>IF($E$1220=L1220,3,5)</f>
        <v>5</v>
      </c>
      <c r="M1227" s="941"/>
      <c r="N1227" s="801"/>
      <c r="O1227" s="822"/>
      <c r="P1227" s="822"/>
      <c r="Q1227" s="822"/>
      <c r="R1227" s="822"/>
      <c r="S1227" s="822"/>
      <c r="T1227" s="822"/>
      <c r="U1227" s="822"/>
      <c r="V1227" s="822"/>
      <c r="W1227" s="822"/>
      <c r="X1227" s="822"/>
      <c r="Y1227" s="942"/>
      <c r="Z1227" s="942"/>
      <c r="AA1227" s="942"/>
    </row>
    <row r="1228" spans="1:33" ht="15.75" thickBot="1" x14ac:dyDescent="0.3">
      <c r="A1228" s="1035">
        <v>1221</v>
      </c>
      <c r="B1228" s="1035" t="s">
        <v>62</v>
      </c>
      <c r="C1228" s="1035" t="s">
        <v>203</v>
      </c>
      <c r="I1228" s="1029"/>
      <c r="K1228" s="783"/>
      <c r="L1228" s="949" t="s">
        <v>254</v>
      </c>
      <c r="M1228" s="776"/>
      <c r="N1228" s="948"/>
    </row>
    <row r="1229" spans="1:33" x14ac:dyDescent="0.25">
      <c r="A1229" s="1035">
        <v>1222</v>
      </c>
      <c r="B1229" s="1035" t="s">
        <v>62</v>
      </c>
      <c r="C1229" s="1035" t="s">
        <v>203</v>
      </c>
      <c r="D1229" s="1127" t="s">
        <v>356</v>
      </c>
      <c r="E1229" s="1278">
        <f>IF(OR(E1216=0,E1220=L1225,E1227=L1231,0),0,L1216)*IF(U1220=AIS_No,1,IF(H1220=AA1220,R1220,IF(H1220=AB1220,S1220,IF(H1220=AC1220,T1220,1))))</f>
        <v>0</v>
      </c>
      <c r="F1229" s="769"/>
      <c r="I1229" s="1029"/>
      <c r="J1229" s="824"/>
      <c r="K1229" s="825"/>
      <c r="L1229" s="820"/>
      <c r="M1229" s="941"/>
      <c r="N1229" s="801"/>
      <c r="O1229" s="822"/>
      <c r="Q1229" s="822"/>
      <c r="R1229" s="822"/>
      <c r="S1229" s="822"/>
      <c r="T1229" s="822"/>
      <c r="U1229" s="822"/>
      <c r="V1229" s="822"/>
      <c r="W1229" s="822"/>
      <c r="X1229" s="822"/>
      <c r="Y1229" s="942"/>
      <c r="Z1229" s="942"/>
      <c r="AA1229" s="942"/>
    </row>
    <row r="1230" spans="1:33" ht="15.75" thickBot="1" x14ac:dyDescent="0.3">
      <c r="A1230" s="1035">
        <v>1223</v>
      </c>
      <c r="B1230" s="1035" t="s">
        <v>62</v>
      </c>
      <c r="C1230" s="1035" t="s">
        <v>203</v>
      </c>
      <c r="D1230" s="1129" t="s">
        <v>86</v>
      </c>
      <c r="E1230" s="1130">
        <f>Pol02_27</f>
        <v>0</v>
      </c>
      <c r="I1230" s="824"/>
      <c r="J1230" s="824"/>
      <c r="K1230" s="825"/>
      <c r="L1230" s="820"/>
      <c r="M1230" s="941"/>
      <c r="N1230" s="801"/>
      <c r="O1230" s="822"/>
      <c r="Q1230" s="822"/>
      <c r="R1230" s="822"/>
      <c r="S1230" s="822"/>
      <c r="T1230" s="822"/>
      <c r="U1230" s="822"/>
      <c r="V1230" s="822"/>
      <c r="W1230" s="822"/>
      <c r="X1230" s="822"/>
      <c r="Y1230" s="942"/>
      <c r="Z1230" s="942"/>
      <c r="AA1230" s="942"/>
    </row>
    <row r="1231" spans="1:33" ht="15.75" thickBot="1" x14ac:dyDescent="0.3">
      <c r="A1231" s="1035">
        <v>1224</v>
      </c>
      <c r="B1231" s="1035" t="s">
        <v>62</v>
      </c>
      <c r="C1231" s="1035" t="s">
        <v>203</v>
      </c>
      <c r="D1231" s="1131" t="s">
        <v>357</v>
      </c>
      <c r="E1231" s="1128" t="s">
        <v>16</v>
      </c>
      <c r="I1231" s="824"/>
      <c r="J1231" s="824"/>
      <c r="K1231" s="825"/>
      <c r="L1231" s="945" t="s">
        <v>360</v>
      </c>
      <c r="M1231" s="941"/>
      <c r="N1231" s="801"/>
      <c r="O1231" s="822"/>
      <c r="Q1231" s="822"/>
      <c r="R1231" s="822"/>
      <c r="S1231" s="822"/>
      <c r="T1231" s="822"/>
      <c r="U1231" s="822"/>
      <c r="V1231" s="822"/>
      <c r="W1231" s="822"/>
      <c r="X1231" s="822"/>
      <c r="Y1231" s="942"/>
      <c r="Z1231" s="942"/>
      <c r="AA1231" s="942"/>
    </row>
    <row r="1232" spans="1:33" x14ac:dyDescent="0.25">
      <c r="A1232" s="1035">
        <v>1225</v>
      </c>
      <c r="B1232" s="1035" t="s">
        <v>62</v>
      </c>
      <c r="C1232" s="1035" t="s">
        <v>203</v>
      </c>
      <c r="D1232" s="1132" t="s">
        <v>55</v>
      </c>
      <c r="E1232" s="1133" t="s">
        <v>16</v>
      </c>
      <c r="F1232" s="1134"/>
      <c r="G1232" s="1135"/>
      <c r="I1232" s="824"/>
      <c r="J1232" s="824"/>
      <c r="K1232" s="825"/>
      <c r="L1232" s="841" t="s">
        <v>568</v>
      </c>
      <c r="M1232" s="941"/>
      <c r="N1232" s="801"/>
      <c r="O1232" s="822"/>
      <c r="Q1232" s="822"/>
      <c r="R1232" s="822"/>
      <c r="S1232" s="822"/>
      <c r="T1232" s="822"/>
      <c r="U1232" s="822"/>
      <c r="V1232" s="822"/>
      <c r="W1232" s="822"/>
      <c r="X1232" s="822"/>
      <c r="Y1232" s="942"/>
      <c r="Z1232" s="942"/>
      <c r="AA1232" s="942"/>
    </row>
    <row r="1233" spans="1:27" ht="15.75" thickBot="1" x14ac:dyDescent="0.3">
      <c r="A1233" s="1035">
        <v>1226</v>
      </c>
      <c r="B1233" s="1035" t="s">
        <v>62</v>
      </c>
      <c r="C1233" s="1035" t="s">
        <v>203</v>
      </c>
      <c r="I1233" s="824"/>
      <c r="J1233" s="824"/>
      <c r="K1233" s="825"/>
      <c r="L1233" s="842" t="s">
        <v>567</v>
      </c>
      <c r="M1233" s="941"/>
      <c r="N1233" s="801"/>
      <c r="O1233" s="822"/>
      <c r="P1233" s="822"/>
      <c r="Q1233" s="822"/>
      <c r="R1233" s="822"/>
      <c r="S1233" s="822"/>
      <c r="T1233" s="822"/>
      <c r="U1233" s="822"/>
      <c r="V1233" s="822"/>
      <c r="W1233" s="822"/>
      <c r="X1233" s="822"/>
      <c r="Y1233" s="942"/>
      <c r="Z1233" s="942"/>
      <c r="AA1233" s="942"/>
    </row>
    <row r="1234" spans="1:27" x14ac:dyDescent="0.25">
      <c r="A1234" s="1035">
        <v>1227</v>
      </c>
      <c r="B1234" s="1035" t="s">
        <v>62</v>
      </c>
      <c r="C1234" s="1035" t="s">
        <v>203</v>
      </c>
      <c r="D1234" s="1136" t="s">
        <v>359</v>
      </c>
      <c r="E1234" s="1136" t="s">
        <v>977</v>
      </c>
      <c r="F1234" s="1136" t="str">
        <f>HLOOKUP(C1234,'Assessment References'!$H$512:$BG$513,2,FALSE)</f>
        <v/>
      </c>
      <c r="G1234" s="1137"/>
      <c r="H1234" s="1138"/>
      <c r="I1234" s="824"/>
      <c r="J1234" s="824"/>
      <c r="K1234" s="825"/>
      <c r="L1234" s="820"/>
      <c r="M1234" s="941"/>
      <c r="N1234" s="801"/>
      <c r="O1234" s="822"/>
      <c r="P1234" s="822"/>
      <c r="Q1234" s="822"/>
      <c r="R1234" s="822"/>
      <c r="S1234" s="822"/>
      <c r="T1234" s="822"/>
      <c r="U1234" s="822"/>
      <c r="V1234" s="822"/>
      <c r="W1234" s="822"/>
      <c r="X1234" s="822"/>
      <c r="Y1234" s="942"/>
      <c r="Z1234" s="942"/>
      <c r="AA1234" s="942"/>
    </row>
    <row r="1235" spans="1:27" x14ac:dyDescent="0.25">
      <c r="A1235" s="1035">
        <v>1228</v>
      </c>
      <c r="B1235" s="1035" t="s">
        <v>62</v>
      </c>
      <c r="C1235" s="1035" t="s">
        <v>203</v>
      </c>
      <c r="D1235" s="1363"/>
      <c r="E1235" s="1352"/>
      <c r="F1235" s="1352"/>
      <c r="G1235" s="1352"/>
      <c r="H1235" s="1353"/>
      <c r="I1235" s="824"/>
      <c r="J1235" s="824"/>
      <c r="K1235" s="825"/>
      <c r="L1235" s="820"/>
      <c r="M1235" s="941"/>
      <c r="N1235" s="801"/>
      <c r="O1235" s="822"/>
      <c r="P1235" s="822"/>
      <c r="Q1235" s="822"/>
      <c r="R1235" s="822"/>
      <c r="S1235" s="822"/>
      <c r="T1235" s="822"/>
      <c r="U1235" s="822"/>
      <c r="V1235" s="822"/>
      <c r="W1235" s="822"/>
      <c r="X1235" s="822"/>
      <c r="Y1235" s="942"/>
      <c r="Z1235" s="942"/>
      <c r="AA1235" s="942"/>
    </row>
    <row r="1236" spans="1:27" x14ac:dyDescent="0.25">
      <c r="A1236" s="1035">
        <v>1229</v>
      </c>
      <c r="B1236" s="1035" t="s">
        <v>62</v>
      </c>
      <c r="C1236" s="1035" t="s">
        <v>203</v>
      </c>
      <c r="D1236" s="1354"/>
      <c r="E1236" s="1355"/>
      <c r="F1236" s="1355"/>
      <c r="G1236" s="1355"/>
      <c r="H1236" s="1356"/>
      <c r="I1236" s="824"/>
      <c r="J1236" s="824"/>
      <c r="K1236" s="825"/>
      <c r="L1236" s="820"/>
      <c r="M1236" s="941"/>
      <c r="N1236" s="801"/>
      <c r="O1236" s="822"/>
      <c r="P1236" s="822"/>
      <c r="Q1236" s="822"/>
      <c r="R1236" s="822"/>
      <c r="S1236" s="822"/>
      <c r="T1236" s="822"/>
      <c r="U1236" s="822"/>
      <c r="V1236" s="822"/>
      <c r="W1236" s="822"/>
      <c r="X1236" s="822"/>
      <c r="Y1236" s="942"/>
      <c r="Z1236" s="942"/>
      <c r="AA1236" s="942"/>
    </row>
    <row r="1237" spans="1:27" x14ac:dyDescent="0.25">
      <c r="A1237" s="1035">
        <v>1230</v>
      </c>
      <c r="B1237" s="1035" t="s">
        <v>62</v>
      </c>
      <c r="C1237" s="1035" t="s">
        <v>203</v>
      </c>
      <c r="D1237" s="1354"/>
      <c r="E1237" s="1355"/>
      <c r="F1237" s="1355"/>
      <c r="G1237" s="1355"/>
      <c r="H1237" s="1356"/>
      <c r="I1237" s="824"/>
      <c r="J1237" s="824"/>
      <c r="K1237" s="825"/>
      <c r="L1237" s="820"/>
      <c r="M1237" s="941"/>
      <c r="N1237" s="801"/>
      <c r="O1237" s="822"/>
      <c r="P1237" s="822"/>
      <c r="Q1237" s="822"/>
      <c r="R1237" s="822"/>
      <c r="S1237" s="822"/>
      <c r="T1237" s="822"/>
      <c r="U1237" s="822"/>
      <c r="V1237" s="822"/>
      <c r="W1237" s="822"/>
      <c r="X1237" s="822"/>
      <c r="Y1237" s="942"/>
      <c r="Z1237" s="942"/>
      <c r="AA1237" s="942"/>
    </row>
    <row r="1238" spans="1:27" x14ac:dyDescent="0.25">
      <c r="A1238" s="1035">
        <v>1231</v>
      </c>
      <c r="B1238" s="1035" t="s">
        <v>62</v>
      </c>
      <c r="C1238" s="1035" t="s">
        <v>203</v>
      </c>
      <c r="D1238" s="1364"/>
      <c r="E1238" s="1358"/>
      <c r="F1238" s="1358"/>
      <c r="G1238" s="1358"/>
      <c r="H1238" s="1359"/>
      <c r="I1238" s="824"/>
      <c r="J1238" s="824"/>
      <c r="K1238" s="825"/>
      <c r="L1238" s="820"/>
      <c r="M1238" s="941"/>
      <c r="N1238" s="801"/>
      <c r="O1238" s="822"/>
      <c r="P1238" s="822"/>
      <c r="Q1238" s="822"/>
      <c r="R1238" s="822"/>
      <c r="S1238" s="822"/>
      <c r="T1238" s="822"/>
      <c r="U1238" s="822"/>
      <c r="V1238" s="822"/>
      <c r="W1238" s="822"/>
      <c r="X1238" s="822"/>
      <c r="Y1238" s="942"/>
      <c r="Z1238" s="942"/>
      <c r="AA1238" s="942"/>
    </row>
    <row r="1239" spans="1:27" x14ac:dyDescent="0.25">
      <c r="A1239" s="1035">
        <v>1232</v>
      </c>
      <c r="B1239" s="1035" t="s">
        <v>62</v>
      </c>
      <c r="C1239" s="1035" t="s">
        <v>203</v>
      </c>
      <c r="D1239" s="1364"/>
      <c r="E1239" s="1358"/>
      <c r="F1239" s="1358"/>
      <c r="G1239" s="1358"/>
      <c r="H1239" s="1359"/>
      <c r="I1239" s="824"/>
      <c r="J1239" s="824"/>
      <c r="K1239" s="825"/>
      <c r="L1239" s="820"/>
      <c r="M1239" s="941"/>
      <c r="N1239" s="801"/>
      <c r="O1239" s="822"/>
      <c r="P1239" s="822"/>
      <c r="Q1239" s="822"/>
      <c r="R1239" s="822"/>
      <c r="S1239" s="822"/>
      <c r="T1239" s="822"/>
      <c r="U1239" s="822"/>
      <c r="V1239" s="822"/>
      <c r="W1239" s="822"/>
      <c r="X1239" s="822"/>
      <c r="Y1239" s="942"/>
      <c r="Z1239" s="942"/>
      <c r="AA1239" s="942"/>
    </row>
    <row r="1240" spans="1:27" x14ac:dyDescent="0.25">
      <c r="A1240" s="1035">
        <v>1233</v>
      </c>
      <c r="B1240" s="1035" t="s">
        <v>62</v>
      </c>
      <c r="C1240" s="1035" t="s">
        <v>203</v>
      </c>
      <c r="D1240" s="1360"/>
      <c r="E1240" s="1361"/>
      <c r="F1240" s="1361"/>
      <c r="G1240" s="1361"/>
      <c r="H1240" s="1362"/>
      <c r="I1240" s="824"/>
      <c r="J1240" s="824"/>
      <c r="K1240" s="825"/>
      <c r="L1240" s="820"/>
      <c r="M1240" s="941"/>
      <c r="N1240" s="801"/>
      <c r="O1240" s="822"/>
      <c r="P1240" s="822"/>
      <c r="Q1240" s="822"/>
      <c r="R1240" s="822"/>
      <c r="S1240" s="822"/>
      <c r="T1240" s="822"/>
      <c r="U1240" s="822"/>
      <c r="V1240" s="822"/>
      <c r="W1240" s="822"/>
      <c r="X1240" s="822"/>
      <c r="Y1240" s="942"/>
      <c r="Z1240" s="942"/>
      <c r="AA1240" s="942"/>
    </row>
    <row r="1241" spans="1:27" ht="15.75" thickBot="1" x14ac:dyDescent="0.3">
      <c r="A1241" s="1035">
        <v>1234</v>
      </c>
      <c r="B1241" s="1035" t="s">
        <v>62</v>
      </c>
      <c r="C1241" s="1035" t="s">
        <v>203</v>
      </c>
      <c r="D1241" s="1193"/>
      <c r="E1241" s="1193"/>
      <c r="F1241" s="1156"/>
      <c r="G1241" s="1156"/>
      <c r="H1241" s="1156"/>
      <c r="I1241" s="824"/>
      <c r="J1241" s="824"/>
      <c r="K1241" s="825"/>
      <c r="L1241" s="820"/>
      <c r="M1241" s="941"/>
      <c r="N1241" s="801"/>
      <c r="O1241" s="822"/>
      <c r="P1241" s="822"/>
      <c r="Q1241" s="822"/>
      <c r="R1241" s="822"/>
      <c r="S1241" s="822"/>
      <c r="T1241" s="822"/>
      <c r="U1241" s="822"/>
      <c r="V1241" s="822"/>
      <c r="W1241" s="822"/>
      <c r="X1241" s="822"/>
      <c r="Y1241" s="942"/>
      <c r="Z1241" s="942"/>
      <c r="AA1241" s="942"/>
    </row>
    <row r="1242" spans="1:27" ht="15.75" thickBot="1" x14ac:dyDescent="0.3">
      <c r="A1242" s="1047">
        <v>1235</v>
      </c>
      <c r="B1242" s="1047" t="s">
        <v>62</v>
      </c>
      <c r="C1242" s="950" t="s">
        <v>204</v>
      </c>
      <c r="D1242" s="1201" t="s">
        <v>927</v>
      </c>
      <c r="E1242" s="1211"/>
      <c r="F1242" s="1211"/>
      <c r="G1242" s="1212"/>
      <c r="H1242" s="1212"/>
      <c r="I1242" s="919"/>
      <c r="J1242" s="919"/>
      <c r="K1242" s="825"/>
      <c r="L1242" s="809" t="str">
        <f>C1242</f>
        <v>POL 03</v>
      </c>
      <c r="M1242" s="941"/>
      <c r="N1242" s="801"/>
      <c r="O1242" s="822"/>
      <c r="P1242" s="822"/>
      <c r="Q1242" s="822"/>
      <c r="R1242" s="822"/>
      <c r="S1242" s="822"/>
      <c r="T1242" s="822"/>
      <c r="U1242" s="822"/>
      <c r="V1242" s="822"/>
      <c r="W1242" s="822"/>
      <c r="X1242" s="822"/>
      <c r="Y1242" s="942"/>
      <c r="Z1242" s="942"/>
      <c r="AA1242" s="942"/>
    </row>
    <row r="1243" spans="1:27" x14ac:dyDescent="0.25">
      <c r="A1243" s="1035">
        <v>1236</v>
      </c>
      <c r="B1243" s="1035" t="s">
        <v>62</v>
      </c>
      <c r="C1243" s="1035" t="s">
        <v>204</v>
      </c>
      <c r="D1243" s="1107" t="s">
        <v>17</v>
      </c>
      <c r="E1243" s="1108">
        <f>Pol03_credits</f>
        <v>5</v>
      </c>
      <c r="F1243" s="1109"/>
      <c r="G1243" s="1110" t="s">
        <v>85</v>
      </c>
      <c r="H1243" s="1111">
        <f>Pol03_14</f>
        <v>3.0769230769230771E-2</v>
      </c>
      <c r="I1243" s="824"/>
      <c r="J1243" s="824"/>
      <c r="K1243" s="825"/>
      <c r="L1243" s="945" t="s">
        <v>360</v>
      </c>
      <c r="M1243" s="941"/>
      <c r="N1243" s="801"/>
      <c r="O1243" s="822"/>
      <c r="P1243" s="822"/>
      <c r="Q1243" s="822"/>
      <c r="R1243" s="822"/>
      <c r="S1243" s="822"/>
      <c r="T1243" s="822"/>
      <c r="U1243" s="822"/>
      <c r="V1243" s="822"/>
      <c r="W1243" s="822"/>
      <c r="X1243" s="822"/>
      <c r="Y1243" s="942"/>
      <c r="Z1243" s="942"/>
      <c r="AA1243" s="942"/>
    </row>
    <row r="1244" spans="1:27" x14ac:dyDescent="0.25">
      <c r="A1244" s="1035">
        <v>1237</v>
      </c>
      <c r="B1244" s="1035" t="s">
        <v>62</v>
      </c>
      <c r="C1244" s="1035" t="s">
        <v>204</v>
      </c>
      <c r="D1244" s="1112" t="s">
        <v>349</v>
      </c>
      <c r="E1244" s="1113">
        <v>0</v>
      </c>
      <c r="F1244" s="1114"/>
      <c r="G1244" s="1115" t="s">
        <v>350</v>
      </c>
      <c r="H1244" s="1116" t="s">
        <v>15</v>
      </c>
      <c r="I1244" s="824"/>
      <c r="J1244" s="824"/>
      <c r="K1244" s="825"/>
      <c r="L1244" s="947" t="s">
        <v>559</v>
      </c>
      <c r="M1244" s="941"/>
      <c r="N1244" s="801"/>
      <c r="O1244" s="822"/>
      <c r="P1244" s="822"/>
      <c r="Q1244" s="822"/>
      <c r="R1244" s="822"/>
      <c r="S1244" s="822"/>
      <c r="T1244" s="822"/>
      <c r="U1244" s="822"/>
      <c r="V1244" s="822"/>
      <c r="W1244" s="822"/>
      <c r="X1244" s="822"/>
      <c r="Y1244" s="942"/>
      <c r="Z1244" s="942"/>
      <c r="AA1244" s="942"/>
    </row>
    <row r="1245" spans="1:27" x14ac:dyDescent="0.25">
      <c r="A1245" s="1035">
        <v>1238</v>
      </c>
      <c r="B1245" s="1035" t="s">
        <v>62</v>
      </c>
      <c r="C1245" s="1035" t="s">
        <v>204</v>
      </c>
      <c r="I1245" s="824"/>
      <c r="J1245" s="824"/>
      <c r="K1245" s="825"/>
      <c r="L1245" s="947" t="s">
        <v>560</v>
      </c>
      <c r="M1245" s="941"/>
      <c r="N1245" s="801"/>
      <c r="O1245" s="822"/>
      <c r="P1245" s="822"/>
      <c r="Q1245" s="822"/>
      <c r="R1245" s="822"/>
      <c r="S1245" s="822"/>
      <c r="T1245" s="822"/>
      <c r="U1245" s="822"/>
      <c r="V1245" s="822"/>
      <c r="W1245" s="822"/>
      <c r="X1245" s="822"/>
      <c r="Y1245" s="942"/>
      <c r="Z1245" s="942"/>
      <c r="AA1245" s="942"/>
    </row>
    <row r="1246" spans="1:27" ht="15.75" thickBot="1" x14ac:dyDescent="0.3">
      <c r="A1246" s="1035">
        <v>1239</v>
      </c>
      <c r="B1246" s="1035" t="s">
        <v>62</v>
      </c>
      <c r="C1246" s="1035" t="s">
        <v>204</v>
      </c>
      <c r="D1246" s="1117" t="s">
        <v>351</v>
      </c>
      <c r="E1246" s="1118" t="s">
        <v>352</v>
      </c>
      <c r="F1246" s="1118" t="s">
        <v>353</v>
      </c>
      <c r="G1246" s="1118" t="s">
        <v>354</v>
      </c>
      <c r="H1246" s="1118" t="s">
        <v>355</v>
      </c>
      <c r="I1246" s="824"/>
      <c r="J1246" s="824"/>
      <c r="K1246" s="825"/>
      <c r="L1246" s="947" t="s">
        <v>561</v>
      </c>
      <c r="M1246" s="941"/>
      <c r="N1246" s="801"/>
      <c r="O1246" s="822"/>
      <c r="P1246" s="822"/>
      <c r="Q1246" s="822"/>
      <c r="R1246" s="822"/>
      <c r="S1246" s="822"/>
      <c r="T1246" s="822"/>
      <c r="U1246" s="822"/>
      <c r="V1246" s="822"/>
      <c r="W1246" s="822"/>
      <c r="X1246" s="822"/>
      <c r="Y1246" s="942"/>
      <c r="Z1246" s="942"/>
      <c r="AA1246" s="942"/>
    </row>
    <row r="1247" spans="1:27" x14ac:dyDescent="0.25">
      <c r="A1247" s="1035">
        <v>1240</v>
      </c>
      <c r="B1247" s="1035" t="s">
        <v>62</v>
      </c>
      <c r="C1247" s="1035" t="s">
        <v>204</v>
      </c>
      <c r="D1247" s="1119" t="s">
        <v>496</v>
      </c>
      <c r="E1247" s="1093" t="s">
        <v>360</v>
      </c>
      <c r="F1247" s="1139">
        <v>2</v>
      </c>
      <c r="G1247" s="1139">
        <f>IF(AND(E1248=AIS_Yes,E1247=L1244),F1247,IF(AND(E1248=AIS_Yes,OR(E1247=L1245,E1247=L1246)),1,0))</f>
        <v>0</v>
      </c>
      <c r="H1247" s="1331" t="s">
        <v>16</v>
      </c>
      <c r="I1247" s="824"/>
      <c r="J1247" s="824"/>
      <c r="K1247" s="825"/>
      <c r="L1247" s="947" t="s">
        <v>562</v>
      </c>
      <c r="M1247" s="941"/>
      <c r="N1247" s="801"/>
      <c r="O1247" s="102" t="s">
        <v>1273</v>
      </c>
      <c r="P1247" s="822"/>
      <c r="Q1247" s="822"/>
      <c r="R1247" s="822"/>
      <c r="S1247" s="822"/>
      <c r="T1247" s="822"/>
      <c r="U1247" s="822" t="str">
        <f>$T$4</f>
        <v>No</v>
      </c>
      <c r="V1247" s="822"/>
      <c r="W1247" s="822"/>
      <c r="X1247" s="822"/>
      <c r="Y1247" s="942"/>
      <c r="Z1247" s="942"/>
      <c r="AA1247" s="942"/>
    </row>
    <row r="1248" spans="1:27" ht="15.75" thickBot="1" x14ac:dyDescent="0.3">
      <c r="A1248" s="1035">
        <v>1241</v>
      </c>
      <c r="B1248" s="1035" t="s">
        <v>62</v>
      </c>
      <c r="C1248" s="1035" t="s">
        <v>204</v>
      </c>
      <c r="D1248" s="1121" t="str">
        <f>IF(E1247=L1244,AIS_statement65,AIS_statement66)</f>
        <v xml:space="preserve">Flood Risk Assessment and ground level of the building and access </v>
      </c>
      <c r="E1248" s="1091" t="s">
        <v>360</v>
      </c>
      <c r="F1248" s="1161"/>
      <c r="G1248" s="1161"/>
      <c r="H1248" s="1318" t="s">
        <v>16</v>
      </c>
      <c r="I1248" s="824"/>
      <c r="J1248" s="824"/>
      <c r="K1248" s="825"/>
      <c r="L1248" s="949" t="s">
        <v>563</v>
      </c>
      <c r="M1248" s="941"/>
      <c r="N1248" s="801"/>
      <c r="O1248" s="102" t="s">
        <v>1273</v>
      </c>
      <c r="P1248" s="822"/>
      <c r="Q1248" s="822"/>
      <c r="R1248" s="822"/>
      <c r="S1248" s="822"/>
      <c r="T1248" s="822"/>
      <c r="U1248" s="822" t="str">
        <f>$T$4</f>
        <v>No</v>
      </c>
      <c r="V1248" s="822"/>
      <c r="W1248" s="822"/>
      <c r="X1248" s="822"/>
      <c r="Y1248" s="942"/>
      <c r="Z1248" s="942"/>
      <c r="AA1248" s="942"/>
    </row>
    <row r="1249" spans="1:27" x14ac:dyDescent="0.25">
      <c r="A1249" s="1035">
        <v>1242</v>
      </c>
      <c r="B1249" s="1035" t="s">
        <v>62</v>
      </c>
      <c r="C1249" s="1035" t="s">
        <v>204</v>
      </c>
      <c r="D1249" s="1121" t="s">
        <v>498</v>
      </c>
      <c r="E1249" s="1091" t="s">
        <v>360</v>
      </c>
      <c r="F1249" s="1122">
        <v>1</v>
      </c>
      <c r="G1249" s="1122">
        <f>IF(E1249=AIS_Yes,F1249,0)</f>
        <v>0</v>
      </c>
      <c r="H1249" s="1318" t="s">
        <v>16</v>
      </c>
      <c r="I1249" s="824"/>
      <c r="J1249" s="824"/>
      <c r="K1249" s="825"/>
      <c r="L1249" s="889"/>
      <c r="M1249" s="941"/>
      <c r="N1249" s="801"/>
      <c r="O1249" s="102" t="s">
        <v>1273</v>
      </c>
      <c r="P1249" s="822"/>
      <c r="Q1249" s="822"/>
      <c r="R1249" s="822"/>
      <c r="S1249" s="822"/>
      <c r="T1249" s="822"/>
      <c r="U1249" s="822" t="str">
        <f>$T$4</f>
        <v>No</v>
      </c>
      <c r="V1249" s="822"/>
      <c r="W1249" s="822"/>
      <c r="X1249" s="822"/>
      <c r="Y1249" s="942"/>
      <c r="Z1249" s="942"/>
      <c r="AA1249" s="942"/>
    </row>
    <row r="1250" spans="1:27" x14ac:dyDescent="0.25">
      <c r="A1250" s="1035">
        <v>1243</v>
      </c>
      <c r="B1250" s="1035" t="s">
        <v>62</v>
      </c>
      <c r="C1250" s="1035" t="s">
        <v>204</v>
      </c>
      <c r="D1250" s="1121" t="s">
        <v>499</v>
      </c>
      <c r="E1250" s="1091" t="s">
        <v>360</v>
      </c>
      <c r="F1250" s="1122">
        <v>1</v>
      </c>
      <c r="G1250" s="1122">
        <f>IF(E1250=AIS_Yes,F1250,0)</f>
        <v>0</v>
      </c>
      <c r="H1250" s="1318" t="s">
        <v>16</v>
      </c>
      <c r="I1250" s="824"/>
      <c r="J1250" s="824"/>
      <c r="K1250" s="825"/>
      <c r="L1250" s="820"/>
      <c r="M1250" s="941"/>
      <c r="N1250" s="801"/>
      <c r="O1250" s="102" t="s">
        <v>1273</v>
      </c>
      <c r="P1250" s="822"/>
      <c r="Q1250" s="822"/>
      <c r="R1250" s="822"/>
      <c r="S1250" s="822"/>
      <c r="T1250" s="822"/>
      <c r="U1250" s="822" t="str">
        <f>$T$4</f>
        <v>No</v>
      </c>
      <c r="V1250" s="822"/>
      <c r="W1250" s="822"/>
      <c r="X1250" s="822"/>
      <c r="Y1250" s="942"/>
      <c r="Z1250" s="942"/>
      <c r="AA1250" s="942"/>
    </row>
    <row r="1251" spans="1:27" ht="15.75" thickBot="1" x14ac:dyDescent="0.3">
      <c r="A1251" s="1035">
        <v>1244</v>
      </c>
      <c r="B1251" s="1035" t="s">
        <v>62</v>
      </c>
      <c r="C1251" s="1035" t="s">
        <v>204</v>
      </c>
      <c r="D1251" s="1123" t="s">
        <v>500</v>
      </c>
      <c r="E1251" s="1092" t="s">
        <v>360</v>
      </c>
      <c r="F1251" s="1140">
        <v>1</v>
      </c>
      <c r="G1251" s="1140">
        <f>IF(E1251=AIS_Yes,F1251,0)</f>
        <v>0</v>
      </c>
      <c r="H1251" s="1319" t="s">
        <v>16</v>
      </c>
      <c r="I1251" s="824"/>
      <c r="J1251" s="824"/>
      <c r="K1251" s="825"/>
      <c r="L1251" s="820"/>
      <c r="M1251" s="941"/>
      <c r="N1251" s="801"/>
      <c r="O1251" s="102" t="s">
        <v>1273</v>
      </c>
      <c r="P1251" s="822"/>
      <c r="Q1251" s="822"/>
      <c r="R1251" s="822"/>
      <c r="S1251" s="822"/>
      <c r="T1251" s="822"/>
      <c r="U1251" s="822" t="str">
        <f>$T$4</f>
        <v>No</v>
      </c>
      <c r="V1251" s="822"/>
      <c r="W1251" s="822"/>
      <c r="X1251" s="822"/>
      <c r="Y1251" s="942"/>
      <c r="Z1251" s="942"/>
      <c r="AA1251" s="942"/>
    </row>
    <row r="1252" spans="1:27" x14ac:dyDescent="0.25">
      <c r="A1252" s="1035">
        <v>1245</v>
      </c>
      <c r="B1252" s="1035" t="s">
        <v>62</v>
      </c>
      <c r="C1252" s="1035" t="s">
        <v>204</v>
      </c>
      <c r="I1252" s="824"/>
      <c r="J1252" s="824"/>
      <c r="K1252" s="825"/>
      <c r="L1252" s="820"/>
      <c r="M1252" s="941"/>
      <c r="N1252" s="801"/>
      <c r="O1252" s="822"/>
      <c r="P1252" s="822"/>
      <c r="Q1252" s="822"/>
      <c r="R1252" s="822"/>
      <c r="S1252" s="822"/>
      <c r="T1252" s="822"/>
      <c r="U1252" s="822"/>
      <c r="V1252" s="822"/>
      <c r="W1252" s="822"/>
      <c r="X1252" s="822"/>
      <c r="Y1252" s="942"/>
      <c r="Z1252" s="942"/>
      <c r="AA1252" s="942"/>
    </row>
    <row r="1253" spans="1:27" x14ac:dyDescent="0.25">
      <c r="A1253" s="1035">
        <v>1246</v>
      </c>
      <c r="B1253" s="1035" t="s">
        <v>62</v>
      </c>
      <c r="C1253" s="1035" t="s">
        <v>204</v>
      </c>
      <c r="D1253" s="1127" t="s">
        <v>356</v>
      </c>
      <c r="E1253" s="1128">
        <f>IF(SUM(G1247:G1251)&gt;E1243,E1243,SUM(G1247:G1251))</f>
        <v>0</v>
      </c>
      <c r="I1253" s="1029"/>
      <c r="J1253" s="824"/>
      <c r="K1253" s="825"/>
      <c r="L1253" s="820"/>
      <c r="M1253" s="941"/>
      <c r="N1253" s="801"/>
      <c r="O1253" s="822"/>
      <c r="P1253" s="822"/>
      <c r="Q1253" s="822"/>
      <c r="R1253" s="822"/>
      <c r="S1253" s="822"/>
      <c r="T1253" s="822"/>
      <c r="U1253" s="822"/>
      <c r="V1253" s="822"/>
      <c r="W1253" s="822"/>
      <c r="X1253" s="822"/>
      <c r="Y1253" s="942"/>
      <c r="Z1253" s="942"/>
      <c r="AA1253" s="942"/>
    </row>
    <row r="1254" spans="1:27" x14ac:dyDescent="0.25">
      <c r="A1254" s="1035">
        <v>1247</v>
      </c>
      <c r="B1254" s="1035" t="s">
        <v>62</v>
      </c>
      <c r="C1254" s="1035" t="s">
        <v>204</v>
      </c>
      <c r="D1254" s="1129" t="s">
        <v>86</v>
      </c>
      <c r="E1254" s="1130">
        <f>Pol03_15</f>
        <v>0</v>
      </c>
      <c r="I1254" s="824"/>
      <c r="J1254" s="824"/>
      <c r="K1254" s="825"/>
      <c r="L1254" s="820"/>
      <c r="M1254" s="941"/>
      <c r="N1254" s="801"/>
      <c r="O1254" s="822"/>
      <c r="P1254" s="822"/>
      <c r="Q1254" s="822"/>
      <c r="R1254" s="822"/>
      <c r="S1254" s="822"/>
      <c r="T1254" s="822"/>
      <c r="U1254" s="822"/>
      <c r="V1254" s="822"/>
      <c r="W1254" s="822"/>
      <c r="X1254" s="822"/>
      <c r="Y1254" s="942"/>
      <c r="Z1254" s="942"/>
      <c r="AA1254" s="942"/>
    </row>
    <row r="1255" spans="1:27" x14ac:dyDescent="0.25">
      <c r="A1255" s="1035">
        <v>1248</v>
      </c>
      <c r="B1255" s="1035" t="s">
        <v>62</v>
      </c>
      <c r="C1255" s="1035" t="s">
        <v>204</v>
      </c>
      <c r="D1255" s="1131" t="s">
        <v>357</v>
      </c>
      <c r="E1255" s="1128" t="s">
        <v>16</v>
      </c>
      <c r="I1255" s="824"/>
      <c r="J1255" s="824"/>
      <c r="K1255" s="825"/>
      <c r="L1255" s="820"/>
      <c r="M1255" s="941"/>
      <c r="N1255" s="801"/>
      <c r="O1255" s="822"/>
      <c r="P1255" s="822"/>
      <c r="Q1255" s="822"/>
      <c r="R1255" s="822"/>
      <c r="S1255" s="822"/>
      <c r="T1255" s="822"/>
      <c r="U1255" s="822"/>
      <c r="V1255" s="822"/>
      <c r="W1255" s="822"/>
      <c r="X1255" s="822"/>
      <c r="Y1255" s="942"/>
      <c r="Z1255" s="942"/>
      <c r="AA1255" s="942"/>
    </row>
    <row r="1256" spans="1:27" x14ac:dyDescent="0.25">
      <c r="A1256" s="1035">
        <v>1249</v>
      </c>
      <c r="B1256" s="1035" t="s">
        <v>62</v>
      </c>
      <c r="C1256" s="1035" t="s">
        <v>204</v>
      </c>
      <c r="D1256" s="1132" t="s">
        <v>55</v>
      </c>
      <c r="E1256" s="1133" t="s">
        <v>16</v>
      </c>
      <c r="F1256" s="1134"/>
      <c r="G1256" s="1135"/>
      <c r="I1256" s="824"/>
      <c r="J1256" s="824"/>
      <c r="K1256" s="825"/>
      <c r="L1256" s="820"/>
      <c r="M1256" s="941"/>
      <c r="N1256" s="801"/>
      <c r="O1256" s="822"/>
      <c r="P1256" s="822"/>
      <c r="Q1256" s="822"/>
      <c r="R1256" s="822"/>
      <c r="S1256" s="822"/>
      <c r="T1256" s="822"/>
      <c r="U1256" s="822"/>
      <c r="V1256" s="822"/>
      <c r="W1256" s="822"/>
      <c r="X1256" s="822"/>
      <c r="Y1256" s="942"/>
      <c r="Z1256" s="942"/>
      <c r="AA1256" s="942"/>
    </row>
    <row r="1257" spans="1:27" x14ac:dyDescent="0.25">
      <c r="A1257" s="1035">
        <v>1250</v>
      </c>
      <c r="B1257" s="1035" t="s">
        <v>62</v>
      </c>
      <c r="C1257" s="1035" t="s">
        <v>204</v>
      </c>
      <c r="I1257" s="824"/>
      <c r="J1257" s="824"/>
      <c r="K1257" s="825"/>
      <c r="L1257" s="820"/>
      <c r="M1257" s="941"/>
      <c r="N1257" s="801"/>
      <c r="O1257" s="822"/>
      <c r="P1257" s="822"/>
      <c r="Q1257" s="822"/>
      <c r="R1257" s="822"/>
      <c r="S1257" s="822"/>
      <c r="T1257" s="822"/>
      <c r="U1257" s="822"/>
      <c r="V1257" s="822"/>
      <c r="W1257" s="822"/>
      <c r="X1257" s="822"/>
      <c r="Y1257" s="942"/>
      <c r="Z1257" s="942"/>
      <c r="AA1257" s="942"/>
    </row>
    <row r="1258" spans="1:27" x14ac:dyDescent="0.25">
      <c r="A1258" s="1035">
        <v>1251</v>
      </c>
      <c r="B1258" s="1035" t="s">
        <v>62</v>
      </c>
      <c r="C1258" s="1035" t="s">
        <v>204</v>
      </c>
      <c r="D1258" s="1136" t="s">
        <v>359</v>
      </c>
      <c r="E1258" s="1136" t="s">
        <v>977</v>
      </c>
      <c r="F1258" s="1136" t="str">
        <f>HLOOKUP(C1258,'Assessment References'!$H$512:$BG$513,2,FALSE)</f>
        <v/>
      </c>
      <c r="G1258" s="1137"/>
      <c r="H1258" s="1138"/>
      <c r="I1258" s="824"/>
      <c r="J1258" s="824"/>
      <c r="K1258" s="825"/>
      <c r="L1258" s="820"/>
      <c r="M1258" s="941"/>
      <c r="N1258" s="801"/>
      <c r="O1258" s="822"/>
      <c r="P1258" s="822"/>
      <c r="Q1258" s="822"/>
      <c r="R1258" s="822"/>
      <c r="S1258" s="822"/>
      <c r="T1258" s="822"/>
      <c r="U1258" s="822"/>
      <c r="V1258" s="822"/>
      <c r="W1258" s="822"/>
      <c r="X1258" s="822"/>
      <c r="Y1258" s="942"/>
      <c r="Z1258" s="942"/>
      <c r="AA1258" s="942"/>
    </row>
    <row r="1259" spans="1:27" x14ac:dyDescent="0.25">
      <c r="A1259" s="1035">
        <v>1252</v>
      </c>
      <c r="B1259" s="1035" t="s">
        <v>62</v>
      </c>
      <c r="C1259" s="1035" t="s">
        <v>204</v>
      </c>
      <c r="D1259" s="1363"/>
      <c r="E1259" s="1352"/>
      <c r="F1259" s="1352"/>
      <c r="G1259" s="1352"/>
      <c r="H1259" s="1353"/>
      <c r="I1259" s="824"/>
      <c r="J1259" s="824"/>
      <c r="K1259" s="825"/>
      <c r="L1259" s="820"/>
      <c r="M1259" s="941"/>
      <c r="N1259" s="801"/>
      <c r="O1259" s="822"/>
      <c r="P1259" s="822"/>
      <c r="Q1259" s="822"/>
      <c r="R1259" s="822"/>
      <c r="S1259" s="822"/>
      <c r="T1259" s="822"/>
      <c r="U1259" s="822"/>
      <c r="V1259" s="822"/>
      <c r="W1259" s="822"/>
      <c r="X1259" s="822"/>
      <c r="Y1259" s="942"/>
      <c r="Z1259" s="942"/>
      <c r="AA1259" s="942"/>
    </row>
    <row r="1260" spans="1:27" x14ac:dyDescent="0.25">
      <c r="A1260" s="1035">
        <v>1253</v>
      </c>
      <c r="B1260" s="1035" t="s">
        <v>62</v>
      </c>
      <c r="C1260" s="1035" t="s">
        <v>204</v>
      </c>
      <c r="D1260" s="1354"/>
      <c r="E1260" s="1355"/>
      <c r="F1260" s="1355"/>
      <c r="G1260" s="1355"/>
      <c r="H1260" s="1356"/>
      <c r="I1260" s="824"/>
      <c r="J1260" s="824"/>
      <c r="K1260" s="825"/>
      <c r="L1260" s="820"/>
      <c r="M1260" s="941"/>
      <c r="N1260" s="801"/>
      <c r="O1260" s="822"/>
      <c r="P1260" s="822"/>
      <c r="Q1260" s="822"/>
      <c r="R1260" s="822"/>
      <c r="S1260" s="822"/>
      <c r="T1260" s="822"/>
      <c r="U1260" s="822"/>
      <c r="V1260" s="822"/>
      <c r="W1260" s="822"/>
      <c r="X1260" s="822"/>
      <c r="Y1260" s="942"/>
      <c r="Z1260" s="942"/>
      <c r="AA1260" s="942"/>
    </row>
    <row r="1261" spans="1:27" x14ac:dyDescent="0.25">
      <c r="A1261" s="1035">
        <v>1254</v>
      </c>
      <c r="B1261" s="1035" t="s">
        <v>62</v>
      </c>
      <c r="C1261" s="1035" t="s">
        <v>204</v>
      </c>
      <c r="D1261" s="1354"/>
      <c r="E1261" s="1355"/>
      <c r="F1261" s="1355"/>
      <c r="G1261" s="1355"/>
      <c r="H1261" s="1356"/>
      <c r="I1261" s="824"/>
      <c r="J1261" s="824"/>
      <c r="K1261" s="825"/>
      <c r="L1261" s="820"/>
      <c r="M1261" s="941"/>
      <c r="N1261" s="801"/>
      <c r="O1261" s="822"/>
      <c r="P1261" s="822"/>
      <c r="Q1261" s="822"/>
      <c r="R1261" s="822"/>
      <c r="S1261" s="822"/>
      <c r="T1261" s="822"/>
      <c r="U1261" s="822"/>
      <c r="V1261" s="822"/>
      <c r="W1261" s="822"/>
      <c r="X1261" s="822"/>
      <c r="Y1261" s="942"/>
      <c r="Z1261" s="942"/>
      <c r="AA1261" s="942"/>
    </row>
    <row r="1262" spans="1:27" x14ac:dyDescent="0.25">
      <c r="A1262" s="1035">
        <v>1255</v>
      </c>
      <c r="B1262" s="1035" t="s">
        <v>62</v>
      </c>
      <c r="C1262" s="1035" t="s">
        <v>204</v>
      </c>
      <c r="D1262" s="1364"/>
      <c r="E1262" s="1358"/>
      <c r="F1262" s="1358"/>
      <c r="G1262" s="1358"/>
      <c r="H1262" s="1359"/>
      <c r="I1262" s="824"/>
      <c r="J1262" s="824"/>
      <c r="K1262" s="825"/>
      <c r="L1262" s="820"/>
      <c r="M1262" s="941"/>
      <c r="N1262" s="801"/>
      <c r="O1262" s="822"/>
      <c r="P1262" s="822"/>
      <c r="Q1262" s="822"/>
      <c r="R1262" s="822"/>
      <c r="S1262" s="822"/>
      <c r="T1262" s="822"/>
      <c r="U1262" s="822"/>
      <c r="V1262" s="822"/>
      <c r="W1262" s="822"/>
      <c r="X1262" s="822"/>
      <c r="Y1262" s="942"/>
      <c r="Z1262" s="942"/>
      <c r="AA1262" s="942"/>
    </row>
    <row r="1263" spans="1:27" x14ac:dyDescent="0.25">
      <c r="A1263" s="1035">
        <v>1256</v>
      </c>
      <c r="B1263" s="1035" t="s">
        <v>62</v>
      </c>
      <c r="C1263" s="1035" t="s">
        <v>204</v>
      </c>
      <c r="D1263" s="1364"/>
      <c r="E1263" s="1358"/>
      <c r="F1263" s="1358"/>
      <c r="G1263" s="1358"/>
      <c r="H1263" s="1359"/>
      <c r="I1263" s="824"/>
      <c r="J1263" s="824"/>
      <c r="K1263" s="825"/>
      <c r="L1263" s="820"/>
      <c r="M1263" s="941"/>
      <c r="N1263" s="801"/>
      <c r="O1263" s="822"/>
      <c r="P1263" s="822"/>
      <c r="Q1263" s="822"/>
      <c r="R1263" s="822"/>
      <c r="S1263" s="822"/>
      <c r="T1263" s="822"/>
      <c r="U1263" s="822"/>
      <c r="V1263" s="822"/>
      <c r="W1263" s="822"/>
      <c r="X1263" s="822"/>
      <c r="Y1263" s="942"/>
      <c r="Z1263" s="942"/>
      <c r="AA1263" s="942"/>
    </row>
    <row r="1264" spans="1:27" x14ac:dyDescent="0.25">
      <c r="A1264" s="1035">
        <v>1257</v>
      </c>
      <c r="B1264" s="1035" t="s">
        <v>62</v>
      </c>
      <c r="C1264" s="1035" t="s">
        <v>204</v>
      </c>
      <c r="D1264" s="1360"/>
      <c r="E1264" s="1361"/>
      <c r="F1264" s="1361"/>
      <c r="G1264" s="1361"/>
      <c r="H1264" s="1362"/>
      <c r="I1264" s="824"/>
      <c r="J1264" s="824"/>
      <c r="K1264" s="825"/>
      <c r="L1264" s="820"/>
      <c r="M1264" s="941"/>
      <c r="N1264" s="801"/>
      <c r="O1264" s="822"/>
      <c r="P1264" s="822"/>
      <c r="Q1264" s="822"/>
      <c r="R1264" s="822"/>
      <c r="S1264" s="822"/>
      <c r="T1264" s="822"/>
      <c r="U1264" s="822"/>
      <c r="V1264" s="822"/>
      <c r="W1264" s="822"/>
      <c r="X1264" s="822"/>
      <c r="Y1264" s="942"/>
      <c r="Z1264" s="942"/>
      <c r="AA1264" s="942"/>
    </row>
    <row r="1265" spans="1:33" ht="15.75" thickBot="1" x14ac:dyDescent="0.3">
      <c r="A1265" s="1035">
        <v>1258</v>
      </c>
      <c r="B1265" s="1035" t="s">
        <v>62</v>
      </c>
      <c r="C1265" s="1035" t="s">
        <v>204</v>
      </c>
      <c r="D1265" s="1193"/>
      <c r="E1265" s="1193"/>
      <c r="F1265" s="1156"/>
      <c r="G1265" s="1156"/>
      <c r="H1265" s="1156"/>
      <c r="I1265" s="824"/>
      <c r="J1265" s="824"/>
      <c r="K1265" s="825"/>
      <c r="L1265" s="820"/>
      <c r="M1265" s="941"/>
      <c r="N1265" s="801"/>
      <c r="O1265" s="822"/>
      <c r="P1265" s="822"/>
      <c r="Q1265" s="822"/>
      <c r="R1265" s="822"/>
      <c r="S1265" s="822"/>
      <c r="T1265" s="822"/>
      <c r="U1265" s="822"/>
      <c r="V1265" s="822"/>
      <c r="W1265" s="822"/>
      <c r="X1265" s="822"/>
      <c r="Y1265" s="942"/>
      <c r="Z1265" s="942"/>
      <c r="AA1265" s="942"/>
    </row>
    <row r="1266" spans="1:33" x14ac:dyDescent="0.25">
      <c r="A1266" s="1046">
        <v>1259</v>
      </c>
      <c r="B1266" s="1046" t="s">
        <v>62</v>
      </c>
      <c r="C1266" s="803" t="s">
        <v>205</v>
      </c>
      <c r="D1266" s="1201" t="s">
        <v>928</v>
      </c>
      <c r="E1266" s="1211"/>
      <c r="F1266" s="1211"/>
      <c r="G1266" s="1212"/>
      <c r="H1266" s="1212"/>
      <c r="I1266" s="919"/>
      <c r="J1266" s="919"/>
      <c r="K1266" s="825"/>
      <c r="L1266" s="809" t="str">
        <f>C1266</f>
        <v>POL 04</v>
      </c>
      <c r="M1266" s="941"/>
      <c r="N1266" s="801"/>
      <c r="O1266" s="822"/>
      <c r="P1266" s="822"/>
      <c r="Q1266" s="822"/>
      <c r="R1266" s="822"/>
      <c r="S1266" s="822"/>
      <c r="T1266" s="822"/>
      <c r="U1266" s="822"/>
      <c r="V1266" s="822"/>
      <c r="W1266" s="822"/>
      <c r="X1266" s="822"/>
      <c r="Y1266" s="942"/>
      <c r="Z1266" s="942"/>
      <c r="AA1266" s="942"/>
    </row>
    <row r="1267" spans="1:33" x14ac:dyDescent="0.25">
      <c r="A1267" s="1035">
        <v>1260</v>
      </c>
      <c r="B1267" s="1035" t="s">
        <v>62</v>
      </c>
      <c r="C1267" s="1035" t="s">
        <v>205</v>
      </c>
      <c r="D1267" s="1107" t="s">
        <v>17</v>
      </c>
      <c r="E1267" s="1108">
        <f>Pol04_credits</f>
        <v>1</v>
      </c>
      <c r="F1267" s="1109"/>
      <c r="G1267" s="1110" t="s">
        <v>85</v>
      </c>
      <c r="H1267" s="1111">
        <f>Pol04_05</f>
        <v>6.1538461538461538E-3</v>
      </c>
      <c r="I1267" s="824"/>
      <c r="J1267" s="824"/>
      <c r="K1267" s="825"/>
      <c r="L1267" s="820"/>
      <c r="M1267" s="941"/>
      <c r="N1267" s="801"/>
      <c r="O1267" s="822"/>
      <c r="P1267" s="822"/>
      <c r="Q1267" s="822"/>
      <c r="R1267" s="822"/>
      <c r="S1267" s="822"/>
      <c r="T1267" s="822"/>
      <c r="U1267" s="822"/>
      <c r="V1267" s="822"/>
      <c r="W1267" s="822"/>
      <c r="X1267" s="822"/>
      <c r="Y1267" s="942"/>
      <c r="Z1267" s="942"/>
      <c r="AA1267" s="942"/>
    </row>
    <row r="1268" spans="1:33" x14ac:dyDescent="0.25">
      <c r="A1268" s="1035">
        <v>1261</v>
      </c>
      <c r="B1268" s="1035" t="s">
        <v>62</v>
      </c>
      <c r="C1268" s="1035" t="s">
        <v>205</v>
      </c>
      <c r="D1268" s="1112" t="s">
        <v>349</v>
      </c>
      <c r="E1268" s="1113">
        <v>0</v>
      </c>
      <c r="F1268" s="1114"/>
      <c r="G1268" s="1115" t="s">
        <v>350</v>
      </c>
      <c r="H1268" s="1116" t="s">
        <v>15</v>
      </c>
      <c r="I1268" s="824"/>
      <c r="J1268" s="824"/>
      <c r="K1268" s="825"/>
      <c r="L1268" s="820"/>
      <c r="M1268" s="941"/>
      <c r="N1268" s="801"/>
      <c r="O1268" s="822"/>
      <c r="P1268" s="822"/>
      <c r="Q1268" s="822"/>
      <c r="R1268" s="822"/>
      <c r="S1268" s="822"/>
      <c r="T1268" s="822"/>
      <c r="U1268" s="822"/>
      <c r="V1268" s="822"/>
      <c r="W1268" s="822"/>
      <c r="X1268" s="822"/>
      <c r="Y1268" s="942"/>
      <c r="Z1268" s="942"/>
      <c r="AA1268" s="942"/>
    </row>
    <row r="1269" spans="1:33" x14ac:dyDescent="0.25">
      <c r="A1269" s="1035">
        <v>1262</v>
      </c>
      <c r="B1269" s="1035" t="s">
        <v>62</v>
      </c>
      <c r="C1269" s="1035" t="s">
        <v>205</v>
      </c>
      <c r="I1269" s="824"/>
      <c r="J1269" s="824"/>
      <c r="K1269" s="825"/>
      <c r="L1269" s="820"/>
      <c r="M1269" s="941"/>
      <c r="N1269" s="801"/>
      <c r="O1269" s="822"/>
      <c r="P1269" s="822"/>
      <c r="Q1269" s="822"/>
      <c r="R1269" s="822"/>
      <c r="S1269" s="822"/>
      <c r="T1269" s="822"/>
      <c r="U1269" s="822"/>
      <c r="V1269" s="822"/>
      <c r="W1269" s="822"/>
      <c r="X1269" s="822"/>
      <c r="Y1269" s="942"/>
      <c r="Z1269" s="942"/>
      <c r="AA1269" s="942"/>
    </row>
    <row r="1270" spans="1:33" ht="15.75" thickBot="1" x14ac:dyDescent="0.3">
      <c r="A1270" s="1035">
        <v>1263</v>
      </c>
      <c r="B1270" s="1035" t="s">
        <v>62</v>
      </c>
      <c r="C1270" s="1035" t="s">
        <v>205</v>
      </c>
      <c r="D1270" s="1117" t="s">
        <v>351</v>
      </c>
      <c r="E1270" s="1118" t="s">
        <v>352</v>
      </c>
      <c r="F1270" s="1118" t="s">
        <v>353</v>
      </c>
      <c r="G1270" s="1118" t="s">
        <v>354</v>
      </c>
      <c r="H1270" s="1118" t="s">
        <v>355</v>
      </c>
      <c r="I1270" s="824"/>
      <c r="J1270" s="824"/>
      <c r="K1270" s="825"/>
      <c r="L1270" s="820"/>
      <c r="M1270" s="941"/>
      <c r="N1270" s="801"/>
      <c r="O1270" s="822"/>
      <c r="P1270" s="822"/>
      <c r="Q1270" s="822"/>
      <c r="R1270" s="822"/>
      <c r="S1270" s="822"/>
      <c r="T1270" s="822"/>
      <c r="U1270" s="822"/>
      <c r="V1270" s="822"/>
      <c r="W1270" s="822"/>
      <c r="X1270" s="822"/>
      <c r="Y1270" s="942"/>
      <c r="Z1270" s="942"/>
      <c r="AA1270" s="942"/>
    </row>
    <row r="1271" spans="1:33" ht="15.75" thickBot="1" x14ac:dyDescent="0.3">
      <c r="A1271" s="1035">
        <v>1264</v>
      </c>
      <c r="B1271" s="1035" t="s">
        <v>62</v>
      </c>
      <c r="C1271" s="1035" t="s">
        <v>205</v>
      </c>
      <c r="D1271" s="1142" t="s">
        <v>397</v>
      </c>
      <c r="E1271" s="1098" t="s">
        <v>360</v>
      </c>
      <c r="F1271" s="1143">
        <f>Pol04_credits</f>
        <v>1</v>
      </c>
      <c r="G1271" s="1279">
        <f>IF(E1271=AIS_Yes,F1271,0)*IF(U1271=AIS_No,1,IF(H1271=AA1271,R1271,IF(H1271=AB1271,S1271,IF(H1271=AC1271,T1271,1))))</f>
        <v>0</v>
      </c>
      <c r="H1271" s="1327" t="s">
        <v>16</v>
      </c>
      <c r="I1271" s="1029"/>
      <c r="J1271" s="824"/>
      <c r="K1271" s="825"/>
      <c r="L1271" s="820"/>
      <c r="M1271" s="941"/>
      <c r="N1271" s="801"/>
      <c r="O1271" s="1266">
        <v>1</v>
      </c>
      <c r="P1271" s="1266">
        <v>0.5</v>
      </c>
      <c r="Q1271" s="1267">
        <v>1</v>
      </c>
      <c r="R1271" s="1258" t="str">
        <f t="shared" ref="R1271" si="88">IF($T$4=AIS_Yes,O1271,AIS_NA)</f>
        <v>N/A</v>
      </c>
      <c r="S1271" s="1259" t="str">
        <f t="shared" ref="S1271" si="89">IF($T$4=AIS_Yes,P1271,AIS_NA)</f>
        <v>N/A</v>
      </c>
      <c r="T1271" s="1074" t="str">
        <f t="shared" ref="T1271" si="90">IF($T$4=AIS_Yes,Q1271,AIS_NA)</f>
        <v>N/A</v>
      </c>
      <c r="U1271" s="1265" t="str">
        <f>IF(AND($T$4=AIS_Yes,OR(R1271&lt;&gt;AIS_NA,S1271&lt;&gt;AIS_NA,T1271&lt;&gt;AIS_NA)),AIS_Yes,AIS_No)</f>
        <v>No</v>
      </c>
      <c r="V1271" s="1258" t="str">
        <f>AIS_option01</f>
        <v>N/A</v>
      </c>
      <c r="W1271" s="1259" t="str">
        <f>AIS_option02_50</f>
        <v>Option 2: -50%</v>
      </c>
      <c r="X1271" s="1272" t="str">
        <f>AIS_option03</f>
        <v>N/A</v>
      </c>
      <c r="Y1271" s="1273"/>
      <c r="Z1271" s="1282"/>
      <c r="AA1271" s="1274" t="str">
        <f>IF(U1271=AIS_Yes,V1271,AIS_NA)</f>
        <v>N/A</v>
      </c>
      <c r="AB1271" s="1274" t="str">
        <f>IF(U1271=AIS_Yes,W1271,AIS_NA)</f>
        <v>N/A</v>
      </c>
      <c r="AC1271" s="1275" t="str">
        <f>IF(U1271=AIS_Yes,X1271,AIS_NA)</f>
        <v>N/A</v>
      </c>
      <c r="AD1271" s="1276" t="str">
        <f>C1271</f>
        <v>POL 04</v>
      </c>
      <c r="AE1271" s="1283" t="str">
        <f>D1271</f>
        <v>External lighting specification</v>
      </c>
      <c r="AF1271" s="1263" t="str">
        <f>H1271</f>
        <v>N/A</v>
      </c>
      <c r="AG1271" s="768">
        <f>IF(U1271=AIS_No,1,IF(H1271=AA1271,R1271,IF(H1271=AB1271,S1271,IF(H1271=AC1271,T1271,1))))</f>
        <v>1</v>
      </c>
    </row>
    <row r="1272" spans="1:33" x14ac:dyDescent="0.25">
      <c r="A1272" s="1035">
        <v>1265</v>
      </c>
      <c r="B1272" s="1035" t="s">
        <v>62</v>
      </c>
      <c r="C1272" s="1035" t="s">
        <v>205</v>
      </c>
      <c r="E1272" s="1144"/>
      <c r="I1272" s="824"/>
      <c r="J1272" s="824"/>
      <c r="K1272" s="825"/>
      <c r="L1272" s="820"/>
      <c r="M1272" s="941"/>
      <c r="N1272" s="801"/>
      <c r="O1272" s="822"/>
      <c r="P1272" s="822"/>
      <c r="Q1272" s="822"/>
      <c r="R1272" s="822"/>
      <c r="S1272" s="822"/>
      <c r="T1272" s="822"/>
      <c r="U1272" s="822"/>
      <c r="V1272" s="822"/>
      <c r="W1272" s="822"/>
      <c r="X1272" s="822"/>
      <c r="Y1272" s="942"/>
      <c r="Z1272" s="942"/>
      <c r="AA1272" s="942"/>
    </row>
    <row r="1273" spans="1:33" x14ac:dyDescent="0.25">
      <c r="A1273" s="1035">
        <v>1266</v>
      </c>
      <c r="B1273" s="1035" t="s">
        <v>62</v>
      </c>
      <c r="C1273" s="1035" t="s">
        <v>205</v>
      </c>
      <c r="D1273" s="1127" t="s">
        <v>356</v>
      </c>
      <c r="E1273" s="1278">
        <f>IF(G1271&gt;E1267,E1267,G1271)</f>
        <v>0</v>
      </c>
      <c r="I1273" s="824"/>
      <c r="J1273" s="824"/>
      <c r="K1273" s="825"/>
      <c r="L1273" s="820"/>
      <c r="M1273" s="941"/>
      <c r="N1273" s="801"/>
      <c r="O1273" s="822"/>
      <c r="P1273" s="822"/>
      <c r="Q1273" s="822"/>
      <c r="R1273" s="822"/>
      <c r="S1273" s="822"/>
      <c r="T1273" s="822"/>
      <c r="U1273" s="822"/>
      <c r="V1273" s="822"/>
      <c r="W1273" s="822"/>
      <c r="X1273" s="822"/>
      <c r="Y1273" s="942"/>
      <c r="Z1273" s="942"/>
      <c r="AA1273" s="942"/>
    </row>
    <row r="1274" spans="1:33" x14ac:dyDescent="0.25">
      <c r="A1274" s="1035">
        <v>1267</v>
      </c>
      <c r="B1274" s="1035" t="s">
        <v>62</v>
      </c>
      <c r="C1274" s="1035" t="s">
        <v>205</v>
      </c>
      <c r="D1274" s="1129" t="s">
        <v>86</v>
      </c>
      <c r="E1274" s="1130">
        <f>Pol04_06</f>
        <v>0</v>
      </c>
      <c r="I1274" s="824"/>
      <c r="J1274" s="824"/>
      <c r="K1274" s="825"/>
      <c r="L1274" s="820"/>
      <c r="M1274" s="941"/>
      <c r="N1274" s="801"/>
      <c r="O1274" s="822"/>
      <c r="P1274" s="822"/>
      <c r="Q1274" s="822"/>
      <c r="R1274" s="822"/>
      <c r="S1274" s="822"/>
      <c r="T1274" s="822"/>
      <c r="U1274" s="822"/>
      <c r="V1274" s="822"/>
      <c r="W1274" s="822"/>
      <c r="X1274" s="822"/>
      <c r="Y1274" s="942"/>
      <c r="Z1274" s="942"/>
      <c r="AA1274" s="942"/>
    </row>
    <row r="1275" spans="1:33" x14ac:dyDescent="0.25">
      <c r="A1275" s="1035">
        <v>1268</v>
      </c>
      <c r="B1275" s="1035" t="s">
        <v>62</v>
      </c>
      <c r="C1275" s="1035" t="s">
        <v>205</v>
      </c>
      <c r="D1275" s="1131" t="s">
        <v>357</v>
      </c>
      <c r="E1275" s="1128" t="s">
        <v>16</v>
      </c>
      <c r="I1275" s="824"/>
      <c r="J1275" s="824"/>
      <c r="K1275" s="825"/>
      <c r="L1275" s="820"/>
      <c r="M1275" s="941"/>
      <c r="N1275" s="801"/>
      <c r="O1275" s="822"/>
      <c r="P1275" s="822"/>
      <c r="Q1275" s="822"/>
      <c r="R1275" s="822"/>
      <c r="S1275" s="822"/>
      <c r="T1275" s="822"/>
      <c r="U1275" s="822"/>
      <c r="V1275" s="822"/>
      <c r="W1275" s="822"/>
      <c r="X1275" s="822"/>
      <c r="Y1275" s="942"/>
      <c r="Z1275" s="942"/>
      <c r="AA1275" s="942"/>
    </row>
    <row r="1276" spans="1:33" x14ac:dyDescent="0.25">
      <c r="A1276" s="1035">
        <v>1269</v>
      </c>
      <c r="B1276" s="1035" t="s">
        <v>62</v>
      </c>
      <c r="C1276" s="1035" t="s">
        <v>205</v>
      </c>
      <c r="D1276" s="1132" t="s">
        <v>55</v>
      </c>
      <c r="E1276" s="1133" t="s">
        <v>16</v>
      </c>
      <c r="F1276" s="1134"/>
      <c r="G1276" s="1135"/>
      <c r="I1276" s="908"/>
      <c r="J1276" s="951"/>
      <c r="K1276" s="899"/>
      <c r="L1276" s="952"/>
      <c r="M1276" s="941"/>
      <c r="N1276" s="801"/>
      <c r="O1276" s="822"/>
      <c r="P1276" s="822"/>
      <c r="Q1276" s="822"/>
      <c r="R1276" s="822"/>
      <c r="S1276" s="822"/>
      <c r="T1276" s="822"/>
      <c r="U1276" s="822"/>
      <c r="V1276" s="822"/>
      <c r="W1276" s="822"/>
      <c r="X1276" s="822"/>
      <c r="Y1276" s="942"/>
      <c r="Z1276" s="942"/>
      <c r="AA1276" s="942"/>
    </row>
    <row r="1277" spans="1:33" x14ac:dyDescent="0.25">
      <c r="A1277" s="1035">
        <v>1270</v>
      </c>
      <c r="B1277" s="1035" t="s">
        <v>62</v>
      </c>
      <c r="C1277" s="1035" t="s">
        <v>205</v>
      </c>
      <c r="I1277" s="908"/>
      <c r="J1277" s="908"/>
      <c r="K1277" s="909"/>
      <c r="L1277" s="820"/>
      <c r="M1277" s="821"/>
      <c r="N1277" s="801"/>
      <c r="O1277" s="822"/>
      <c r="P1277" s="822"/>
      <c r="Q1277" s="822"/>
      <c r="R1277" s="822"/>
      <c r="S1277" s="822"/>
      <c r="T1277" s="822"/>
      <c r="U1277" s="822"/>
      <c r="V1277" s="822"/>
      <c r="W1277" s="822"/>
      <c r="X1277" s="822"/>
      <c r="Y1277" s="823"/>
      <c r="Z1277" s="823"/>
      <c r="AA1277" s="823"/>
    </row>
    <row r="1278" spans="1:33" x14ac:dyDescent="0.25">
      <c r="A1278" s="1035">
        <v>1271</v>
      </c>
      <c r="B1278" s="1035" t="s">
        <v>62</v>
      </c>
      <c r="C1278" s="1035" t="s">
        <v>205</v>
      </c>
      <c r="D1278" s="1136" t="s">
        <v>359</v>
      </c>
      <c r="E1278" s="1136" t="s">
        <v>977</v>
      </c>
      <c r="F1278" s="1136" t="str">
        <f>HLOOKUP(C1278,'Assessment References'!$H$512:$BG$513,2,FALSE)</f>
        <v/>
      </c>
      <c r="G1278" s="1137"/>
      <c r="H1278" s="1138"/>
      <c r="I1278" s="908"/>
      <c r="J1278" s="908"/>
      <c r="K1278" s="909"/>
      <c r="L1278" s="820"/>
      <c r="M1278" s="821"/>
      <c r="N1278" s="801"/>
      <c r="O1278" s="822"/>
      <c r="P1278" s="822"/>
      <c r="Q1278" s="822"/>
      <c r="R1278" s="822"/>
      <c r="S1278" s="822"/>
      <c r="T1278" s="822"/>
      <c r="U1278" s="822"/>
      <c r="V1278" s="822"/>
      <c r="W1278" s="822"/>
      <c r="X1278" s="822"/>
      <c r="Y1278" s="823"/>
      <c r="Z1278" s="823"/>
      <c r="AA1278" s="823"/>
    </row>
    <row r="1279" spans="1:33" x14ac:dyDescent="0.25">
      <c r="A1279" s="1035">
        <v>1272</v>
      </c>
      <c r="B1279" s="1035" t="s">
        <v>62</v>
      </c>
      <c r="C1279" s="1035" t="s">
        <v>205</v>
      </c>
      <c r="D1279" s="1363"/>
      <c r="E1279" s="1352"/>
      <c r="F1279" s="1352"/>
      <c r="G1279" s="1352"/>
      <c r="H1279" s="1353"/>
      <c r="I1279" s="908"/>
      <c r="J1279" s="908"/>
      <c r="K1279" s="909"/>
      <c r="L1279" s="820"/>
      <c r="M1279" s="821"/>
      <c r="N1279" s="801"/>
      <c r="O1279" s="822"/>
      <c r="P1279" s="822"/>
      <c r="Q1279" s="822"/>
      <c r="R1279" s="822"/>
      <c r="S1279" s="822"/>
      <c r="T1279" s="822"/>
      <c r="U1279" s="822"/>
      <c r="V1279" s="822"/>
      <c r="W1279" s="822"/>
      <c r="X1279" s="822"/>
      <c r="Y1279" s="823"/>
      <c r="Z1279" s="823"/>
      <c r="AA1279" s="823"/>
    </row>
    <row r="1280" spans="1:33" x14ac:dyDescent="0.25">
      <c r="A1280" s="1035">
        <v>1273</v>
      </c>
      <c r="B1280" s="1035" t="s">
        <v>62</v>
      </c>
      <c r="C1280" s="1035" t="s">
        <v>205</v>
      </c>
      <c r="D1280" s="1354"/>
      <c r="E1280" s="1355"/>
      <c r="F1280" s="1355"/>
      <c r="G1280" s="1355"/>
      <c r="H1280" s="1356"/>
      <c r="I1280" s="908"/>
      <c r="J1280" s="908"/>
      <c r="K1280" s="909"/>
      <c r="L1280" s="820"/>
      <c r="M1280" s="821"/>
      <c r="N1280" s="801"/>
      <c r="O1280" s="822"/>
      <c r="P1280" s="822"/>
      <c r="Q1280" s="822"/>
      <c r="R1280" s="822"/>
      <c r="S1280" s="822"/>
      <c r="T1280" s="822"/>
      <c r="U1280" s="822"/>
      <c r="V1280" s="822"/>
      <c r="W1280" s="822"/>
      <c r="X1280" s="822"/>
      <c r="Y1280" s="823"/>
      <c r="Z1280" s="823"/>
      <c r="AA1280" s="823"/>
    </row>
    <row r="1281" spans="1:33" x14ac:dyDescent="0.25">
      <c r="A1281" s="1035">
        <v>1274</v>
      </c>
      <c r="B1281" s="1035" t="s">
        <v>62</v>
      </c>
      <c r="C1281" s="1035" t="s">
        <v>205</v>
      </c>
      <c r="D1281" s="1354"/>
      <c r="E1281" s="1355"/>
      <c r="F1281" s="1355"/>
      <c r="G1281" s="1355"/>
      <c r="H1281" s="1356"/>
      <c r="I1281" s="908"/>
      <c r="J1281" s="908"/>
      <c r="K1281" s="909"/>
      <c r="L1281" s="820"/>
      <c r="M1281" s="821"/>
      <c r="N1281" s="801"/>
      <c r="O1281" s="822"/>
      <c r="P1281" s="822"/>
      <c r="Q1281" s="822"/>
      <c r="R1281" s="822"/>
      <c r="S1281" s="822"/>
      <c r="T1281" s="822"/>
      <c r="U1281" s="822"/>
      <c r="V1281" s="822"/>
      <c r="W1281" s="822"/>
      <c r="X1281" s="822"/>
      <c r="Y1281" s="823"/>
      <c r="Z1281" s="823"/>
      <c r="AA1281" s="823"/>
    </row>
    <row r="1282" spans="1:33" x14ac:dyDescent="0.25">
      <c r="A1282" s="1035">
        <v>1275</v>
      </c>
      <c r="B1282" s="1035" t="s">
        <v>62</v>
      </c>
      <c r="C1282" s="1035" t="s">
        <v>205</v>
      </c>
      <c r="D1282" s="1364"/>
      <c r="E1282" s="1358"/>
      <c r="F1282" s="1358"/>
      <c r="G1282" s="1358"/>
      <c r="H1282" s="1359"/>
      <c r="I1282" s="908"/>
      <c r="J1282" s="908"/>
      <c r="K1282" s="909"/>
      <c r="L1282" s="820"/>
      <c r="M1282" s="821"/>
      <c r="N1282" s="801"/>
      <c r="O1282" s="822"/>
      <c r="P1282" s="822"/>
      <c r="Q1282" s="822"/>
      <c r="R1282" s="822"/>
      <c r="S1282" s="822"/>
      <c r="T1282" s="822"/>
      <c r="U1282" s="822"/>
      <c r="V1282" s="822"/>
      <c r="W1282" s="822"/>
      <c r="X1282" s="822"/>
      <c r="Y1282" s="823"/>
      <c r="Z1282" s="823"/>
      <c r="AA1282" s="823"/>
    </row>
    <row r="1283" spans="1:33" x14ac:dyDescent="0.25">
      <c r="A1283" s="1035">
        <v>1276</v>
      </c>
      <c r="B1283" s="1035" t="s">
        <v>62</v>
      </c>
      <c r="C1283" s="1035" t="s">
        <v>205</v>
      </c>
      <c r="D1283" s="1364"/>
      <c r="E1283" s="1358"/>
      <c r="F1283" s="1358"/>
      <c r="G1283" s="1358"/>
      <c r="H1283" s="1359"/>
      <c r="I1283" s="908"/>
      <c r="J1283" s="908"/>
      <c r="K1283" s="909"/>
      <c r="L1283" s="820"/>
      <c r="M1283" s="821"/>
      <c r="N1283" s="801"/>
      <c r="O1283" s="822"/>
      <c r="P1283" s="822"/>
      <c r="Q1283" s="822"/>
      <c r="R1283" s="822"/>
      <c r="S1283" s="822"/>
      <c r="T1283" s="822"/>
      <c r="U1283" s="822"/>
      <c r="V1283" s="822"/>
      <c r="W1283" s="822"/>
      <c r="X1283" s="822"/>
      <c r="Y1283" s="823"/>
      <c r="Z1283" s="823"/>
      <c r="AA1283" s="823"/>
    </row>
    <row r="1284" spans="1:33" x14ac:dyDescent="0.25">
      <c r="A1284" s="1035">
        <v>1277</v>
      </c>
      <c r="B1284" s="1035" t="s">
        <v>62</v>
      </c>
      <c r="C1284" s="1035" t="s">
        <v>205</v>
      </c>
      <c r="D1284" s="1360"/>
      <c r="E1284" s="1361"/>
      <c r="F1284" s="1361"/>
      <c r="G1284" s="1361"/>
      <c r="H1284" s="1362"/>
      <c r="I1284" s="908"/>
      <c r="J1284" s="908"/>
      <c r="K1284" s="909"/>
      <c r="L1284" s="820"/>
      <c r="M1284" s="821"/>
      <c r="N1284" s="801"/>
      <c r="O1284" s="822"/>
      <c r="P1284" s="822"/>
      <c r="Q1284" s="822"/>
      <c r="R1284" s="822"/>
      <c r="S1284" s="822"/>
      <c r="T1284" s="822"/>
      <c r="U1284" s="822"/>
      <c r="V1284" s="822"/>
      <c r="W1284" s="822"/>
      <c r="X1284" s="822"/>
      <c r="Y1284" s="823"/>
      <c r="Z1284" s="823"/>
      <c r="AA1284" s="823"/>
    </row>
    <row r="1285" spans="1:33" ht="15.75" thickBot="1" x14ac:dyDescent="0.3">
      <c r="A1285" s="1035">
        <v>1278</v>
      </c>
      <c r="B1285" s="1035" t="s">
        <v>62</v>
      </c>
      <c r="C1285" s="1035" t="s">
        <v>205</v>
      </c>
      <c r="D1285" s="1196"/>
      <c r="E1285" s="1197"/>
      <c r="F1285" s="1197"/>
      <c r="G1285" s="1197"/>
      <c r="H1285" s="1197"/>
      <c r="I1285" s="908"/>
      <c r="J1285" s="908"/>
      <c r="K1285" s="909"/>
      <c r="L1285" s="820"/>
      <c r="M1285" s="821"/>
      <c r="N1285" s="801"/>
      <c r="O1285" s="822"/>
      <c r="P1285" s="822"/>
      <c r="Q1285" s="822"/>
      <c r="R1285" s="822"/>
      <c r="S1285" s="822"/>
      <c r="T1285" s="822"/>
      <c r="U1285" s="822"/>
      <c r="V1285" s="822"/>
      <c r="W1285" s="822"/>
      <c r="X1285" s="822"/>
      <c r="Y1285" s="823"/>
      <c r="Z1285" s="823"/>
      <c r="AA1285" s="823"/>
    </row>
    <row r="1286" spans="1:33" x14ac:dyDescent="0.25">
      <c r="A1286" s="1046">
        <v>1279</v>
      </c>
      <c r="B1286" s="1046" t="s">
        <v>62</v>
      </c>
      <c r="C1286" s="803" t="s">
        <v>206</v>
      </c>
      <c r="D1286" s="1201" t="s">
        <v>929</v>
      </c>
      <c r="E1286" s="1211"/>
      <c r="F1286" s="1211"/>
      <c r="G1286" s="1212"/>
      <c r="H1286" s="1167" t="str">
        <f>IF(Pol05_credits=AIS_credit00,AIS_statement32,"")</f>
        <v/>
      </c>
      <c r="I1286" s="915"/>
      <c r="J1286" s="915"/>
      <c r="K1286" s="909"/>
      <c r="L1286" s="809" t="str">
        <f>C1286</f>
        <v>POL 05</v>
      </c>
      <c r="M1286" s="821"/>
      <c r="N1286" s="801"/>
      <c r="O1286" s="822"/>
      <c r="P1286" s="822"/>
      <c r="Q1286" s="822"/>
      <c r="R1286" s="822"/>
      <c r="S1286" s="822"/>
      <c r="T1286" s="822"/>
      <c r="U1286" s="822"/>
      <c r="V1286" s="822"/>
      <c r="W1286" s="822"/>
      <c r="X1286" s="822"/>
      <c r="Y1286" s="823"/>
      <c r="Z1286" s="823"/>
      <c r="AA1286" s="823"/>
    </row>
    <row r="1287" spans="1:33" x14ac:dyDescent="0.25">
      <c r="A1287" s="1035">
        <v>1280</v>
      </c>
      <c r="B1287" s="1035" t="s">
        <v>62</v>
      </c>
      <c r="C1287" s="1035" t="s">
        <v>206</v>
      </c>
      <c r="D1287" s="1107" t="s">
        <v>17</v>
      </c>
      <c r="E1287" s="1108">
        <f>Pol05_credits</f>
        <v>1</v>
      </c>
      <c r="F1287" s="1109"/>
      <c r="G1287" s="1110" t="s">
        <v>85</v>
      </c>
      <c r="H1287" s="1111">
        <f>Pol05_10</f>
        <v>6.1538461538461538E-3</v>
      </c>
      <c r="I1287" s="908"/>
      <c r="J1287" s="908"/>
      <c r="K1287" s="909"/>
      <c r="L1287" s="820"/>
      <c r="M1287" s="821"/>
      <c r="N1287" s="801"/>
      <c r="O1287" s="822"/>
      <c r="P1287" s="822"/>
      <c r="Q1287" s="822"/>
      <c r="R1287" s="822"/>
      <c r="S1287" s="822"/>
      <c r="T1287" s="822"/>
      <c r="U1287" s="822"/>
      <c r="V1287" s="822"/>
      <c r="W1287" s="822"/>
      <c r="X1287" s="822"/>
      <c r="Y1287" s="823"/>
      <c r="Z1287" s="823"/>
      <c r="AA1287" s="823"/>
    </row>
    <row r="1288" spans="1:33" x14ac:dyDescent="0.25">
      <c r="A1288" s="1035">
        <v>1281</v>
      </c>
      <c r="B1288" s="1035" t="s">
        <v>62</v>
      </c>
      <c r="C1288" s="1035" t="s">
        <v>206</v>
      </c>
      <c r="D1288" s="1112" t="s">
        <v>349</v>
      </c>
      <c r="E1288" s="1113">
        <v>0</v>
      </c>
      <c r="F1288" s="1114"/>
      <c r="G1288" s="1115" t="s">
        <v>350</v>
      </c>
      <c r="H1288" s="1116" t="s">
        <v>15</v>
      </c>
      <c r="I1288" s="908"/>
      <c r="J1288" s="908"/>
      <c r="K1288" s="909"/>
      <c r="L1288" s="820"/>
      <c r="M1288" s="821"/>
      <c r="N1288" s="801"/>
      <c r="O1288" s="822"/>
      <c r="P1288" s="822"/>
      <c r="Q1288" s="822"/>
      <c r="R1288" s="822"/>
      <c r="S1288" s="822"/>
      <c r="T1288" s="822"/>
      <c r="U1288" s="822"/>
      <c r="V1288" s="822"/>
      <c r="W1288" s="822"/>
      <c r="X1288" s="822"/>
      <c r="Y1288" s="823"/>
      <c r="Z1288" s="823"/>
      <c r="AA1288" s="823"/>
    </row>
    <row r="1289" spans="1:33" x14ac:dyDescent="0.25">
      <c r="A1289" s="1035">
        <v>1282</v>
      </c>
      <c r="B1289" s="1035" t="s">
        <v>62</v>
      </c>
      <c r="C1289" s="1035" t="s">
        <v>206</v>
      </c>
      <c r="I1289" s="908"/>
      <c r="J1289" s="908"/>
      <c r="K1289" s="909"/>
      <c r="L1289" s="820"/>
      <c r="M1289" s="821"/>
      <c r="N1289" s="801"/>
      <c r="O1289" s="822"/>
      <c r="P1289" s="822"/>
      <c r="Q1289" s="822"/>
      <c r="R1289" s="822"/>
      <c r="S1289" s="822"/>
      <c r="T1289" s="822"/>
      <c r="U1289" s="822"/>
      <c r="V1289" s="822"/>
      <c r="W1289" s="822"/>
      <c r="X1289" s="822"/>
      <c r="Y1289" s="823"/>
      <c r="Z1289" s="823"/>
      <c r="AA1289" s="823"/>
    </row>
    <row r="1290" spans="1:33" ht="15.75" thickBot="1" x14ac:dyDescent="0.3">
      <c r="A1290" s="1035">
        <v>1283</v>
      </c>
      <c r="B1290" s="1035" t="s">
        <v>62</v>
      </c>
      <c r="C1290" s="1035" t="s">
        <v>206</v>
      </c>
      <c r="D1290" s="1213" t="s">
        <v>351</v>
      </c>
      <c r="E1290" s="1118" t="s">
        <v>352</v>
      </c>
      <c r="F1290" s="1118" t="s">
        <v>353</v>
      </c>
      <c r="G1290" s="1118" t="s">
        <v>354</v>
      </c>
      <c r="H1290" s="1118" t="s">
        <v>355</v>
      </c>
      <c r="I1290" s="908"/>
      <c r="J1290" s="908"/>
      <c r="K1290" s="909"/>
      <c r="L1290" s="820"/>
      <c r="M1290" s="821"/>
      <c r="N1290" s="801"/>
      <c r="O1290" s="822"/>
      <c r="P1290" s="822"/>
      <c r="Q1290" s="822"/>
      <c r="R1290" s="822"/>
      <c r="S1290" s="822"/>
      <c r="T1290" s="822"/>
      <c r="U1290" s="822"/>
      <c r="V1290" s="822"/>
      <c r="W1290" s="822"/>
      <c r="X1290" s="822"/>
      <c r="Y1290" s="823"/>
      <c r="Z1290" s="823"/>
      <c r="AA1290" s="823"/>
    </row>
    <row r="1291" spans="1:33" ht="15.75" thickBot="1" x14ac:dyDescent="0.3">
      <c r="A1291" s="1035">
        <v>1284</v>
      </c>
      <c r="B1291" s="1035" t="s">
        <v>62</v>
      </c>
      <c r="C1291" s="1035" t="s">
        <v>206</v>
      </c>
      <c r="D1291" s="1160" t="s">
        <v>501</v>
      </c>
      <c r="E1291" s="1091" t="s">
        <v>360</v>
      </c>
      <c r="F1291" s="1151">
        <f>Pol05_credits</f>
        <v>1</v>
      </c>
      <c r="G1291" s="1289">
        <f>IF(E1291=AIS_PS,0,IF(E1291=AIS_No,F1291,IF(AND(E1291=AIS_Yes,E1292=AIS_No),0,IF(AND(E1291=AIS_Yes,E1292=AIS_Yes),F1291,0))))*IF(U1292=AIS_No,1,IF(H1292=AA1292,R1292,IF(H1292=AB1292,S1292,IF(H1292=AC1292,T1292,1))))</f>
        <v>0</v>
      </c>
      <c r="I1291" s="908"/>
      <c r="J1291" s="908"/>
      <c r="K1291" s="909"/>
      <c r="L1291" s="820"/>
      <c r="M1291" s="821"/>
      <c r="N1291" s="801"/>
      <c r="O1291" s="822"/>
      <c r="P1291" s="822"/>
      <c r="Q1291" s="822"/>
      <c r="R1291" s="822"/>
      <c r="S1291" s="822"/>
      <c r="T1291" s="822"/>
      <c r="U1291" s="822"/>
      <c r="V1291" s="822"/>
      <c r="W1291" s="822"/>
      <c r="X1291" s="822"/>
      <c r="Y1291" s="823"/>
      <c r="Z1291" s="823"/>
      <c r="AA1291" s="823"/>
    </row>
    <row r="1292" spans="1:33" ht="15.75" thickBot="1" x14ac:dyDescent="0.3">
      <c r="A1292" s="1035">
        <v>1285</v>
      </c>
      <c r="B1292" s="1035" t="s">
        <v>62</v>
      </c>
      <c r="C1292" s="1035" t="s">
        <v>206</v>
      </c>
      <c r="D1292" s="508" t="s">
        <v>1278</v>
      </c>
      <c r="E1292" s="1092" t="s">
        <v>360</v>
      </c>
      <c r="F1292" s="1214"/>
      <c r="G1292" s="1215"/>
      <c r="H1292" s="1327" t="s">
        <v>16</v>
      </c>
      <c r="I1292" s="908"/>
      <c r="J1292" s="908"/>
      <c r="K1292" s="909"/>
      <c r="L1292" s="820"/>
      <c r="M1292" s="821"/>
      <c r="N1292" s="801"/>
      <c r="O1292" s="1266">
        <v>1</v>
      </c>
      <c r="P1292" s="1266">
        <v>0.5</v>
      </c>
      <c r="Q1292" s="1267">
        <v>1</v>
      </c>
      <c r="R1292" s="1258" t="str">
        <f t="shared" ref="R1292" si="91">IF($T$4=AIS_Yes,O1292,AIS_NA)</f>
        <v>N/A</v>
      </c>
      <c r="S1292" s="1259" t="str">
        <f t="shared" ref="S1292" si="92">IF($T$4=AIS_Yes,P1292,AIS_NA)</f>
        <v>N/A</v>
      </c>
      <c r="T1292" s="1074" t="str">
        <f t="shared" ref="T1292" si="93">IF($T$4=AIS_Yes,Q1292,AIS_NA)</f>
        <v>N/A</v>
      </c>
      <c r="U1292" s="1265" t="str">
        <f>IF(E1291=AIS_No,AIS_No,IF(AND($T$4=AIS_Yes,OR(R1292&lt;&gt;AIS_NA,S1292&lt;&gt;AIS_NA,T1292&lt;&gt;AIS_NA)),AIS_Yes,AIS_No))</f>
        <v>No</v>
      </c>
      <c r="V1292" s="1258" t="str">
        <f>AIS_option01</f>
        <v>N/A</v>
      </c>
      <c r="W1292" s="1259" t="str">
        <f>AIS_option02_50</f>
        <v>Option 2: -50%</v>
      </c>
      <c r="X1292" s="1272" t="str">
        <f>AIS_option03</f>
        <v>N/A</v>
      </c>
      <c r="Y1292" s="1273"/>
      <c r="Z1292" s="1282"/>
      <c r="AA1292" s="1274" t="str">
        <f>IF(U1292=AIS_Yes,V1292,AIS_NA)</f>
        <v>N/A</v>
      </c>
      <c r="AB1292" s="1274" t="str">
        <f>IF(U1292=AIS_Yes,W1292,AIS_NA)</f>
        <v>N/A</v>
      </c>
      <c r="AC1292" s="1275" t="str">
        <f>IF(U1292=AIS_Yes,X1292,AIS_NA)</f>
        <v>N/A</v>
      </c>
      <c r="AD1292" s="1276" t="str">
        <f>C1292</f>
        <v>POL 05</v>
      </c>
      <c r="AE1292" s="1283" t="s">
        <v>929</v>
      </c>
      <c r="AF1292" s="1263" t="str">
        <f>H1292</f>
        <v>N/A</v>
      </c>
      <c r="AG1292" s="768">
        <f>IF(U1292=AIS_No,1,IF(H1292=AA1292,R1292,IF(H1292=AB1292,S1292,IF(H1292=AC1292,T1292,1))))</f>
        <v>1</v>
      </c>
    </row>
    <row r="1293" spans="1:33" x14ac:dyDescent="0.25">
      <c r="A1293" s="1035">
        <v>1286</v>
      </c>
      <c r="B1293" s="1035" t="s">
        <v>62</v>
      </c>
      <c r="C1293" s="1035" t="s">
        <v>206</v>
      </c>
      <c r="D1293" s="1288"/>
      <c r="E1293" s="1144"/>
      <c r="I1293" s="908"/>
      <c r="J1293" s="908"/>
      <c r="K1293" s="909"/>
      <c r="L1293" s="820"/>
      <c r="M1293" s="821"/>
      <c r="N1293" s="801"/>
      <c r="O1293" s="822"/>
      <c r="P1293" s="822"/>
      <c r="Q1293" s="822"/>
      <c r="R1293" s="822"/>
      <c r="S1293" s="822"/>
      <c r="T1293" s="822"/>
      <c r="U1293" s="822"/>
      <c r="V1293" s="822"/>
      <c r="W1293" s="822"/>
      <c r="X1293" s="822"/>
      <c r="Y1293" s="823"/>
      <c r="Z1293" s="823"/>
      <c r="AA1293" s="823"/>
    </row>
    <row r="1294" spans="1:33" x14ac:dyDescent="0.25">
      <c r="A1294" s="1035">
        <v>1287</v>
      </c>
      <c r="B1294" s="1035" t="s">
        <v>62</v>
      </c>
      <c r="C1294" s="1035" t="s">
        <v>206</v>
      </c>
      <c r="D1294" s="1127" t="s">
        <v>356</v>
      </c>
      <c r="E1294" s="1278">
        <f>IF(G1291&gt;E1287,E1287,G1291)</f>
        <v>0</v>
      </c>
      <c r="I1294" s="1029"/>
      <c r="J1294" s="908"/>
      <c r="K1294" s="909"/>
      <c r="L1294" s="820"/>
      <c r="M1294" s="821"/>
      <c r="N1294" s="801"/>
      <c r="O1294" s="822"/>
      <c r="P1294" s="822"/>
      <c r="Q1294" s="822"/>
      <c r="R1294" s="822"/>
      <c r="S1294" s="822"/>
      <c r="T1294" s="822"/>
      <c r="U1294" s="822"/>
      <c r="V1294" s="822"/>
      <c r="W1294" s="822"/>
      <c r="X1294" s="822"/>
      <c r="Y1294" s="823"/>
      <c r="Z1294" s="823"/>
      <c r="AA1294" s="823"/>
    </row>
    <row r="1295" spans="1:33" x14ac:dyDescent="0.25">
      <c r="A1295" s="1035">
        <v>1288</v>
      </c>
      <c r="B1295" s="1035" t="s">
        <v>62</v>
      </c>
      <c r="C1295" s="1035" t="s">
        <v>206</v>
      </c>
      <c r="D1295" s="1129" t="s">
        <v>86</v>
      </c>
      <c r="E1295" s="1130">
        <v>0</v>
      </c>
      <c r="I1295" s="908"/>
      <c r="J1295" s="908"/>
      <c r="K1295" s="909"/>
      <c r="L1295" s="820"/>
      <c r="M1295" s="821"/>
      <c r="N1295" s="801"/>
      <c r="O1295" s="822"/>
      <c r="P1295" s="822"/>
      <c r="Q1295" s="822"/>
      <c r="R1295" s="822"/>
      <c r="S1295" s="822"/>
      <c r="T1295" s="822"/>
      <c r="U1295" s="822"/>
      <c r="V1295" s="822"/>
      <c r="W1295" s="822"/>
      <c r="X1295" s="822"/>
      <c r="Y1295" s="823"/>
      <c r="Z1295" s="823"/>
      <c r="AA1295" s="823"/>
    </row>
    <row r="1296" spans="1:33" x14ac:dyDescent="0.25">
      <c r="A1296" s="1035">
        <v>1289</v>
      </c>
      <c r="B1296" s="1035" t="s">
        <v>62</v>
      </c>
      <c r="C1296" s="1035" t="s">
        <v>206</v>
      </c>
      <c r="D1296" s="1131" t="s">
        <v>357</v>
      </c>
      <c r="E1296" s="1128" t="s">
        <v>16</v>
      </c>
      <c r="I1296" s="908"/>
      <c r="J1296" s="908"/>
      <c r="K1296" s="909"/>
      <c r="L1296" s="820"/>
      <c r="M1296" s="821"/>
      <c r="N1296" s="801"/>
      <c r="O1296" s="822"/>
      <c r="P1296" s="822"/>
      <c r="Q1296" s="822"/>
      <c r="R1296" s="822"/>
      <c r="S1296" s="822"/>
      <c r="T1296" s="822"/>
      <c r="U1296" s="822"/>
      <c r="V1296" s="822"/>
      <c r="W1296" s="822"/>
      <c r="X1296" s="822"/>
      <c r="Y1296" s="823"/>
      <c r="Z1296" s="823"/>
      <c r="AA1296" s="823"/>
    </row>
    <row r="1297" spans="1:27" x14ac:dyDescent="0.25">
      <c r="A1297" s="1035">
        <v>1290</v>
      </c>
      <c r="B1297" s="1035" t="s">
        <v>62</v>
      </c>
      <c r="C1297" s="1035" t="s">
        <v>206</v>
      </c>
      <c r="D1297" s="1132" t="s">
        <v>55</v>
      </c>
      <c r="E1297" s="1133" t="s">
        <v>16</v>
      </c>
      <c r="F1297" s="1134"/>
      <c r="G1297" s="1135"/>
      <c r="I1297" s="908"/>
      <c r="J1297" s="908"/>
      <c r="K1297" s="909"/>
      <c r="L1297" s="820"/>
      <c r="M1297" s="821"/>
      <c r="N1297" s="801"/>
      <c r="O1297" s="822"/>
      <c r="P1297" s="822"/>
      <c r="Q1297" s="822"/>
      <c r="R1297" s="822"/>
      <c r="S1297" s="822"/>
      <c r="T1297" s="822"/>
      <c r="U1297" s="822"/>
      <c r="V1297" s="822"/>
      <c r="W1297" s="822"/>
      <c r="X1297" s="822"/>
      <c r="Y1297" s="823"/>
      <c r="Z1297" s="823"/>
      <c r="AA1297" s="823"/>
    </row>
    <row r="1298" spans="1:27" x14ac:dyDescent="0.25">
      <c r="A1298" s="1035">
        <v>1291</v>
      </c>
      <c r="B1298" s="1035" t="s">
        <v>62</v>
      </c>
      <c r="C1298" s="1035" t="s">
        <v>206</v>
      </c>
      <c r="I1298" s="908"/>
      <c r="J1298" s="908"/>
      <c r="K1298" s="909"/>
      <c r="L1298" s="820"/>
      <c r="M1298" s="821"/>
      <c r="N1298" s="801"/>
      <c r="O1298" s="822"/>
      <c r="P1298" s="822"/>
      <c r="Q1298" s="822"/>
      <c r="R1298" s="822"/>
      <c r="S1298" s="822"/>
      <c r="T1298" s="822"/>
      <c r="U1298" s="822"/>
      <c r="V1298" s="822"/>
      <c r="W1298" s="822"/>
      <c r="X1298" s="822"/>
      <c r="Y1298" s="823"/>
      <c r="Z1298" s="823"/>
      <c r="AA1298" s="823"/>
    </row>
    <row r="1299" spans="1:27" x14ac:dyDescent="0.25">
      <c r="A1299" s="1035">
        <v>1292</v>
      </c>
      <c r="B1299" s="1035" t="s">
        <v>62</v>
      </c>
      <c r="C1299" s="1035" t="s">
        <v>206</v>
      </c>
      <c r="D1299" s="1136" t="s">
        <v>359</v>
      </c>
      <c r="E1299" s="1136" t="s">
        <v>977</v>
      </c>
      <c r="F1299" s="1136" t="str">
        <f>HLOOKUP(C1299,'Assessment References'!$H$512:$BG$513,2,FALSE)</f>
        <v/>
      </c>
      <c r="G1299" s="1137"/>
      <c r="H1299" s="1138"/>
      <c r="I1299" s="908"/>
      <c r="J1299" s="908"/>
      <c r="K1299" s="909"/>
      <c r="L1299" s="820"/>
      <c r="M1299" s="821"/>
      <c r="N1299" s="801"/>
      <c r="O1299" s="822"/>
      <c r="P1299" s="822"/>
      <c r="Q1299" s="822"/>
      <c r="R1299" s="822"/>
      <c r="S1299" s="822"/>
      <c r="T1299" s="822"/>
      <c r="U1299" s="822"/>
      <c r="V1299" s="822"/>
      <c r="W1299" s="822"/>
      <c r="X1299" s="822"/>
      <c r="Y1299" s="823"/>
      <c r="Z1299" s="823"/>
      <c r="AA1299" s="823"/>
    </row>
    <row r="1300" spans="1:27" x14ac:dyDescent="0.25">
      <c r="A1300" s="1035">
        <v>1293</v>
      </c>
      <c r="B1300" s="1035" t="s">
        <v>62</v>
      </c>
      <c r="C1300" s="1035" t="s">
        <v>206</v>
      </c>
      <c r="D1300" s="1363"/>
      <c r="E1300" s="1352"/>
      <c r="F1300" s="1352"/>
      <c r="G1300" s="1352"/>
      <c r="H1300" s="1353"/>
      <c r="I1300" s="908"/>
      <c r="J1300" s="908"/>
      <c r="K1300" s="909"/>
      <c r="L1300" s="820"/>
      <c r="M1300" s="821"/>
      <c r="N1300" s="801"/>
      <c r="O1300" s="822"/>
      <c r="P1300" s="822"/>
      <c r="Q1300" s="822"/>
      <c r="R1300" s="822"/>
      <c r="S1300" s="822"/>
      <c r="T1300" s="822"/>
      <c r="U1300" s="822"/>
      <c r="V1300" s="822"/>
      <c r="W1300" s="822"/>
      <c r="X1300" s="822"/>
      <c r="Y1300" s="823"/>
      <c r="Z1300" s="823"/>
      <c r="AA1300" s="823"/>
    </row>
    <row r="1301" spans="1:27" x14ac:dyDescent="0.25">
      <c r="A1301" s="1035">
        <v>1294</v>
      </c>
      <c r="B1301" s="1035" t="s">
        <v>62</v>
      </c>
      <c r="C1301" s="1035" t="s">
        <v>206</v>
      </c>
      <c r="D1301" s="1354"/>
      <c r="E1301" s="1355"/>
      <c r="F1301" s="1355"/>
      <c r="G1301" s="1355"/>
      <c r="H1301" s="1356"/>
      <c r="I1301" s="908"/>
      <c r="J1301" s="908"/>
      <c r="K1301" s="909"/>
      <c r="L1301" s="820"/>
      <c r="M1301" s="821"/>
      <c r="N1301" s="801"/>
      <c r="O1301" s="822"/>
      <c r="P1301" s="822"/>
      <c r="Q1301" s="822"/>
      <c r="R1301" s="822"/>
      <c r="S1301" s="822"/>
      <c r="T1301" s="822"/>
      <c r="U1301" s="822"/>
      <c r="V1301" s="822"/>
      <c r="W1301" s="822"/>
      <c r="X1301" s="822"/>
      <c r="Y1301" s="823"/>
      <c r="Z1301" s="823"/>
      <c r="AA1301" s="823"/>
    </row>
    <row r="1302" spans="1:27" x14ac:dyDescent="0.25">
      <c r="A1302" s="1035">
        <v>1295</v>
      </c>
      <c r="B1302" s="1035" t="s">
        <v>62</v>
      </c>
      <c r="C1302" s="1035" t="s">
        <v>206</v>
      </c>
      <c r="D1302" s="1354"/>
      <c r="E1302" s="1355"/>
      <c r="F1302" s="1355"/>
      <c r="G1302" s="1355"/>
      <c r="H1302" s="1356"/>
      <c r="I1302" s="908"/>
      <c r="J1302" s="908"/>
      <c r="K1302" s="909"/>
      <c r="L1302" s="820"/>
      <c r="M1302" s="821"/>
      <c r="N1302" s="801"/>
      <c r="O1302" s="822"/>
      <c r="P1302" s="822"/>
      <c r="Q1302" s="822"/>
      <c r="R1302" s="822"/>
      <c r="S1302" s="822"/>
      <c r="T1302" s="822"/>
      <c r="U1302" s="822"/>
      <c r="V1302" s="822"/>
      <c r="W1302" s="822"/>
      <c r="X1302" s="822"/>
      <c r="Y1302" s="823"/>
      <c r="Z1302" s="823"/>
      <c r="AA1302" s="823"/>
    </row>
    <row r="1303" spans="1:27" x14ac:dyDescent="0.25">
      <c r="A1303" s="1035">
        <v>1296</v>
      </c>
      <c r="B1303" s="1035" t="s">
        <v>62</v>
      </c>
      <c r="C1303" s="1035" t="s">
        <v>206</v>
      </c>
      <c r="D1303" s="1364"/>
      <c r="E1303" s="1358"/>
      <c r="F1303" s="1358"/>
      <c r="G1303" s="1358"/>
      <c r="H1303" s="1359"/>
      <c r="I1303" s="908"/>
      <c r="J1303" s="908"/>
      <c r="K1303" s="909"/>
      <c r="L1303" s="820"/>
      <c r="M1303" s="821"/>
      <c r="N1303" s="801"/>
      <c r="O1303" s="822"/>
      <c r="P1303" s="822"/>
      <c r="Q1303" s="822"/>
      <c r="R1303" s="822"/>
      <c r="S1303" s="822"/>
      <c r="T1303" s="822"/>
      <c r="U1303" s="822"/>
      <c r="V1303" s="822"/>
      <c r="W1303" s="822"/>
      <c r="X1303" s="822"/>
      <c r="Y1303" s="823"/>
      <c r="Z1303" s="823"/>
      <c r="AA1303" s="823"/>
    </row>
    <row r="1304" spans="1:27" x14ac:dyDescent="0.25">
      <c r="A1304" s="1035">
        <v>1297</v>
      </c>
      <c r="B1304" s="1035" t="s">
        <v>62</v>
      </c>
      <c r="C1304" s="1035" t="s">
        <v>206</v>
      </c>
      <c r="D1304" s="1364"/>
      <c r="E1304" s="1358"/>
      <c r="F1304" s="1358"/>
      <c r="G1304" s="1358"/>
      <c r="H1304" s="1359"/>
      <c r="I1304" s="908"/>
      <c r="J1304" s="908"/>
      <c r="K1304" s="909"/>
      <c r="L1304" s="820"/>
      <c r="M1304" s="821"/>
      <c r="N1304" s="801"/>
      <c r="O1304" s="822"/>
      <c r="P1304" s="822"/>
      <c r="Q1304" s="822"/>
      <c r="R1304" s="822"/>
      <c r="S1304" s="822"/>
      <c r="T1304" s="822"/>
      <c r="U1304" s="822"/>
      <c r="V1304" s="822"/>
      <c r="W1304" s="822"/>
      <c r="X1304" s="822"/>
      <c r="Y1304" s="823"/>
      <c r="Z1304" s="823"/>
      <c r="AA1304" s="823"/>
    </row>
    <row r="1305" spans="1:27" x14ac:dyDescent="0.25">
      <c r="A1305" s="1035">
        <v>1298</v>
      </c>
      <c r="B1305" s="1035" t="s">
        <v>62</v>
      </c>
      <c r="C1305" s="1035" t="s">
        <v>206</v>
      </c>
      <c r="D1305" s="1360"/>
      <c r="E1305" s="1361"/>
      <c r="F1305" s="1361"/>
      <c r="G1305" s="1361"/>
      <c r="H1305" s="1362"/>
      <c r="I1305" s="908"/>
      <c r="J1305" s="908"/>
      <c r="K1305" s="909"/>
      <c r="L1305" s="820"/>
      <c r="M1305" s="821"/>
      <c r="N1305" s="801"/>
      <c r="O1305" s="822"/>
      <c r="P1305" s="822"/>
      <c r="Q1305" s="822"/>
      <c r="R1305" s="822"/>
      <c r="S1305" s="822"/>
      <c r="T1305" s="822"/>
      <c r="U1305" s="822"/>
      <c r="V1305" s="822"/>
      <c r="W1305" s="822"/>
      <c r="X1305" s="822"/>
      <c r="Y1305" s="823"/>
      <c r="Z1305" s="823"/>
      <c r="AA1305" s="823"/>
    </row>
    <row r="1306" spans="1:27" x14ac:dyDescent="0.25">
      <c r="A1306" s="1035">
        <v>1299</v>
      </c>
      <c r="B1306" s="1035" t="s">
        <v>62</v>
      </c>
      <c r="C1306" s="1035" t="s">
        <v>206</v>
      </c>
      <c r="D1306" s="1196"/>
      <c r="E1306" s="1197"/>
      <c r="F1306" s="1197"/>
      <c r="G1306" s="1197"/>
      <c r="H1306" s="1197"/>
      <c r="I1306" s="908"/>
      <c r="J1306" s="908"/>
      <c r="K1306" s="909"/>
      <c r="L1306" s="820"/>
      <c r="M1306" s="821"/>
      <c r="N1306" s="801"/>
      <c r="O1306" s="822"/>
      <c r="P1306" s="822"/>
      <c r="Q1306" s="822"/>
      <c r="R1306" s="822"/>
      <c r="S1306" s="822"/>
      <c r="T1306" s="822"/>
      <c r="U1306" s="822"/>
      <c r="V1306" s="822"/>
      <c r="W1306" s="822"/>
      <c r="X1306" s="822"/>
      <c r="Y1306" s="823"/>
      <c r="Z1306" s="823"/>
      <c r="AA1306" s="823"/>
    </row>
    <row r="1307" spans="1:27" ht="18.75" x14ac:dyDescent="0.3">
      <c r="A1307" s="1041">
        <v>1300</v>
      </c>
      <c r="B1307" s="1032" t="s">
        <v>1009</v>
      </c>
      <c r="C1307" s="1033"/>
      <c r="D1307" s="1154"/>
      <c r="E1307" s="1216"/>
      <c r="F1307" s="1154"/>
      <c r="G1307" s="1154"/>
      <c r="H1307" s="1155"/>
      <c r="I1307" s="908"/>
      <c r="J1307" s="908"/>
      <c r="K1307" s="909"/>
      <c r="L1307" s="820"/>
      <c r="M1307" s="776"/>
      <c r="N1307" s="777"/>
      <c r="U1307" s="775"/>
      <c r="V1307" s="775"/>
      <c r="W1307" s="822"/>
      <c r="X1307" s="822"/>
      <c r="Y1307" s="823"/>
      <c r="Z1307" s="823"/>
      <c r="AA1307" s="823"/>
    </row>
    <row r="1308" spans="1:27" ht="15.75" thickBot="1" x14ac:dyDescent="0.3">
      <c r="A1308" s="1035">
        <v>1301</v>
      </c>
      <c r="B1308" s="1035" t="s">
        <v>1009</v>
      </c>
      <c r="C1308" s="1029"/>
      <c r="D1308" s="1196"/>
      <c r="E1308" s="1197"/>
      <c r="F1308" s="1197"/>
      <c r="G1308" s="1197"/>
      <c r="H1308" s="1197"/>
      <c r="I1308" s="908"/>
      <c r="J1308" s="908"/>
      <c r="K1308" s="909"/>
      <c r="L1308" s="820"/>
      <c r="M1308" s="776"/>
      <c r="N1308" s="953"/>
      <c r="U1308" s="775"/>
      <c r="V1308" s="775"/>
      <c r="W1308" s="822"/>
      <c r="X1308" s="822"/>
      <c r="Y1308" s="823"/>
      <c r="Z1308" s="823"/>
      <c r="AA1308" s="823"/>
    </row>
    <row r="1309" spans="1:27" ht="15.75" thickBot="1" x14ac:dyDescent="0.3">
      <c r="A1309" s="1039">
        <v>1302</v>
      </c>
      <c r="B1309" s="1039" t="s">
        <v>1009</v>
      </c>
      <c r="C1309" s="905" t="s">
        <v>1008</v>
      </c>
      <c r="D1309" s="1217"/>
      <c r="E1309" s="1217"/>
      <c r="F1309" s="1217"/>
      <c r="G1309" s="1218"/>
      <c r="H1309" s="1218"/>
      <c r="I1309" s="908"/>
      <c r="J1309" s="908"/>
      <c r="K1309" s="909"/>
      <c r="L1309" s="809" t="str">
        <f>C1309</f>
        <v>Exemplary level and innovation</v>
      </c>
      <c r="M1309" s="776"/>
      <c r="N1309" s="953"/>
      <c r="U1309" s="775"/>
      <c r="V1309" s="775"/>
      <c r="W1309" s="822"/>
      <c r="X1309" s="822"/>
      <c r="Y1309" s="823"/>
      <c r="Z1309" s="823"/>
      <c r="AA1309" s="823"/>
    </row>
    <row r="1310" spans="1:27" x14ac:dyDescent="0.25">
      <c r="A1310" s="1035">
        <v>1303</v>
      </c>
      <c r="B1310" s="1035" t="s">
        <v>1009</v>
      </c>
      <c r="C1310" s="1035" t="s">
        <v>1008</v>
      </c>
      <c r="D1310" s="1107" t="s">
        <v>349</v>
      </c>
      <c r="E1310" s="1108">
        <v>10</v>
      </c>
      <c r="F1310" s="1109"/>
      <c r="G1310" s="1110" t="s">
        <v>85</v>
      </c>
      <c r="H1310" s="1111">
        <f>Poeng!T99</f>
        <v>0.1</v>
      </c>
      <c r="I1310" s="908"/>
      <c r="J1310" s="908"/>
      <c r="K1310" s="909"/>
      <c r="L1310" s="828" t="str">
        <f>AIS_No</f>
        <v>No</v>
      </c>
      <c r="M1310" s="839">
        <v>0</v>
      </c>
      <c r="N1310" s="953"/>
      <c r="U1310" s="775"/>
      <c r="V1310" s="775"/>
      <c r="W1310" s="822"/>
      <c r="X1310" s="822"/>
      <c r="Y1310" s="823"/>
      <c r="Z1310" s="823"/>
      <c r="AA1310" s="823"/>
    </row>
    <row r="1311" spans="1:27" x14ac:dyDescent="0.25">
      <c r="A1311" s="1035">
        <v>1304</v>
      </c>
      <c r="B1311" s="1035" t="s">
        <v>1009</v>
      </c>
      <c r="C1311" s="1035" t="s">
        <v>1008</v>
      </c>
      <c r="F1311" s="1114"/>
      <c r="G1311" s="1115" t="s">
        <v>350</v>
      </c>
      <c r="H1311" s="1116" t="s">
        <v>15</v>
      </c>
      <c r="I1311" s="908"/>
      <c r="J1311" s="908"/>
      <c r="K1311" s="909"/>
      <c r="L1311" s="831" t="s">
        <v>850</v>
      </c>
      <c r="M1311" s="954">
        <v>1</v>
      </c>
      <c r="N1311" s="953"/>
      <c r="U1311" s="775"/>
      <c r="V1311" s="775"/>
      <c r="W1311" s="822"/>
      <c r="X1311" s="822"/>
      <c r="Y1311" s="823"/>
      <c r="Z1311" s="823"/>
      <c r="AA1311" s="823"/>
    </row>
    <row r="1312" spans="1:27" x14ac:dyDescent="0.25">
      <c r="A1312" s="1035">
        <v>1305</v>
      </c>
      <c r="B1312" s="1035" t="s">
        <v>1009</v>
      </c>
      <c r="C1312" s="1035" t="s">
        <v>1008</v>
      </c>
      <c r="I1312" s="908"/>
      <c r="J1312" s="908"/>
      <c r="K1312" s="909"/>
      <c r="L1312" s="831" t="s">
        <v>851</v>
      </c>
      <c r="M1312" s="954">
        <v>2</v>
      </c>
      <c r="N1312" s="953"/>
      <c r="U1312" s="775"/>
      <c r="V1312" s="775"/>
      <c r="W1312" s="822"/>
      <c r="X1312" s="822"/>
      <c r="Y1312" s="942"/>
      <c r="Z1312" s="942"/>
      <c r="AA1312" s="942"/>
    </row>
    <row r="1313" spans="1:27" ht="15.75" thickBot="1" x14ac:dyDescent="0.3">
      <c r="A1313" s="1035">
        <v>1306</v>
      </c>
      <c r="B1313" s="1035" t="s">
        <v>1009</v>
      </c>
      <c r="C1313" s="1035" t="s">
        <v>1008</v>
      </c>
      <c r="D1313" s="1117" t="s">
        <v>351</v>
      </c>
      <c r="E1313" s="1118" t="s">
        <v>352</v>
      </c>
      <c r="F1313" s="1118" t="s">
        <v>353</v>
      </c>
      <c r="G1313" s="1118" t="s">
        <v>354</v>
      </c>
      <c r="I1313" s="908"/>
      <c r="J1313" s="908"/>
      <c r="K1313" s="909"/>
      <c r="L1313" s="831" t="s">
        <v>852</v>
      </c>
      <c r="M1313" s="954">
        <v>3</v>
      </c>
      <c r="N1313" s="953"/>
      <c r="U1313" s="775"/>
      <c r="V1313" s="775"/>
      <c r="W1313" s="822"/>
      <c r="X1313" s="822"/>
      <c r="Y1313" s="942"/>
      <c r="Z1313" s="942"/>
      <c r="AA1313" s="942"/>
    </row>
    <row r="1314" spans="1:27" x14ac:dyDescent="0.25">
      <c r="A1314" s="1035">
        <v>1307</v>
      </c>
      <c r="B1314" s="1035" t="s">
        <v>1009</v>
      </c>
      <c r="C1314" s="1035" t="s">
        <v>1008</v>
      </c>
      <c r="D1314" s="1119" t="str">
        <f>Poeng!D109</f>
        <v>Man 05 Aftercare</v>
      </c>
      <c r="E1314" s="1202" t="str">
        <f t="shared" ref="E1314:E1321" si="94">IF(G1314=0,AIS_No,AIS_Yes)</f>
        <v>No</v>
      </c>
      <c r="F1314" s="1139">
        <f>Inn01_credits</f>
        <v>1</v>
      </c>
      <c r="G1314" s="1139">
        <f>Inn01_user</f>
        <v>0</v>
      </c>
      <c r="I1314" s="908"/>
      <c r="J1314" s="908"/>
      <c r="K1314" s="909"/>
      <c r="L1314" s="831" t="s">
        <v>853</v>
      </c>
      <c r="M1314" s="954">
        <v>4</v>
      </c>
      <c r="N1314" s="953"/>
      <c r="U1314" s="775"/>
      <c r="V1314" s="775"/>
      <c r="W1314" s="822"/>
      <c r="X1314" s="822"/>
      <c r="Y1314" s="942"/>
      <c r="Z1314" s="942"/>
      <c r="AA1314" s="942"/>
    </row>
    <row r="1315" spans="1:27" x14ac:dyDescent="0.25">
      <c r="A1315" s="1035">
        <v>1308</v>
      </c>
      <c r="B1315" s="1035" t="s">
        <v>1009</v>
      </c>
      <c r="C1315" s="1035" t="s">
        <v>1008</v>
      </c>
      <c r="D1315" s="1160" t="str">
        <f>Poeng!D110</f>
        <v>Hea 02 Indoor air quality</v>
      </c>
      <c r="E1315" s="1219" t="str">
        <f t="shared" si="94"/>
        <v>No</v>
      </c>
      <c r="F1315" s="1122">
        <f>Inn02_credits</f>
        <v>1</v>
      </c>
      <c r="G1315" s="1122">
        <f>Inn02_user</f>
        <v>0</v>
      </c>
      <c r="I1315" s="908"/>
      <c r="J1315" s="908"/>
      <c r="K1315" s="909"/>
      <c r="L1315" s="831" t="s">
        <v>854</v>
      </c>
      <c r="M1315" s="954">
        <v>5</v>
      </c>
      <c r="N1315" s="953"/>
      <c r="U1315" s="775"/>
      <c r="V1315" s="775"/>
      <c r="W1315" s="822"/>
      <c r="X1315" s="822"/>
      <c r="Y1315" s="942"/>
      <c r="Z1315" s="942"/>
      <c r="AA1315" s="942"/>
    </row>
    <row r="1316" spans="1:27" x14ac:dyDescent="0.25">
      <c r="A1316" s="1035">
        <v>1309</v>
      </c>
      <c r="B1316" s="1035" t="s">
        <v>1009</v>
      </c>
      <c r="C1316" s="1035" t="s">
        <v>1008</v>
      </c>
      <c r="D1316" s="1160" t="str">
        <f>Poeng!D111</f>
        <v>Tra 03 Alternative modes of transport</v>
      </c>
      <c r="E1316" s="1219" t="str">
        <f t="shared" si="94"/>
        <v>No</v>
      </c>
      <c r="F1316" s="1122">
        <f>Inn03_credits</f>
        <v>1</v>
      </c>
      <c r="G1316" s="1122">
        <f>Inn03_user</f>
        <v>0</v>
      </c>
      <c r="I1316" s="908"/>
      <c r="J1316" s="908"/>
      <c r="K1316" s="909"/>
      <c r="L1316" s="831" t="s">
        <v>855</v>
      </c>
      <c r="M1316" s="954">
        <v>6</v>
      </c>
      <c r="N1316" s="953"/>
      <c r="U1316" s="775"/>
      <c r="V1316" s="775"/>
      <c r="W1316" s="822"/>
      <c r="X1316" s="822"/>
      <c r="Y1316" s="942"/>
      <c r="Z1316" s="942"/>
      <c r="AA1316" s="942"/>
    </row>
    <row r="1317" spans="1:27" x14ac:dyDescent="0.25">
      <c r="A1317" s="1035">
        <v>1310</v>
      </c>
      <c r="B1317" s="1035" t="s">
        <v>1009</v>
      </c>
      <c r="C1317" s="1035" t="s">
        <v>1008</v>
      </c>
      <c r="D1317" s="1160" t="str">
        <f>Poeng!D112</f>
        <v>Wat 01 Water consumption</v>
      </c>
      <c r="E1317" s="1219" t="str">
        <f t="shared" si="94"/>
        <v>No</v>
      </c>
      <c r="F1317" s="1122">
        <f>Inn04_credits</f>
        <v>1</v>
      </c>
      <c r="G1317" s="1122">
        <f>Inn04_user</f>
        <v>0</v>
      </c>
      <c r="I1317" s="908"/>
      <c r="J1317" s="908"/>
      <c r="K1317" s="909"/>
      <c r="L1317" s="831" t="s">
        <v>856</v>
      </c>
      <c r="M1317" s="954">
        <v>7</v>
      </c>
      <c r="N1317" s="953"/>
      <c r="U1317" s="775"/>
      <c r="V1317" s="775"/>
      <c r="W1317" s="822"/>
      <c r="X1317" s="822"/>
      <c r="Y1317" s="942"/>
      <c r="Z1317" s="942"/>
      <c r="AA1317" s="942"/>
    </row>
    <row r="1318" spans="1:27" x14ac:dyDescent="0.25">
      <c r="A1318" s="1035">
        <v>1311</v>
      </c>
      <c r="B1318" s="1035" t="s">
        <v>1009</v>
      </c>
      <c r="C1318" s="1035" t="s">
        <v>1008</v>
      </c>
      <c r="D1318" s="1160" t="str">
        <f>Poeng!D113</f>
        <v>Mat 01 Life cycle impacts</v>
      </c>
      <c r="E1318" s="1219" t="str">
        <f t="shared" si="94"/>
        <v>No</v>
      </c>
      <c r="F1318" s="1122">
        <f>Inn05_credits</f>
        <v>2</v>
      </c>
      <c r="G1318" s="1122">
        <f>Inn05_user</f>
        <v>0</v>
      </c>
      <c r="I1318" s="908"/>
      <c r="J1318" s="908"/>
      <c r="K1318" s="909"/>
      <c r="L1318" s="831" t="s">
        <v>857</v>
      </c>
      <c r="M1318" s="954">
        <v>8</v>
      </c>
      <c r="N1318" s="953"/>
      <c r="U1318" s="775"/>
      <c r="V1318" s="775"/>
      <c r="W1318" s="822"/>
      <c r="X1318" s="822"/>
      <c r="Y1318" s="942"/>
      <c r="Z1318" s="942"/>
      <c r="AA1318" s="942"/>
    </row>
    <row r="1319" spans="1:27" x14ac:dyDescent="0.25">
      <c r="A1319" s="1035">
        <v>1312</v>
      </c>
      <c r="B1319" s="1035" t="s">
        <v>1009</v>
      </c>
      <c r="C1319" s="1035" t="s">
        <v>1008</v>
      </c>
      <c r="D1319" s="1160" t="str">
        <f>Poeng!D114</f>
        <v>Mat 03 Responsible sourcing of materials</v>
      </c>
      <c r="E1319" s="1219" t="str">
        <f t="shared" si="94"/>
        <v>No</v>
      </c>
      <c r="F1319" s="1122">
        <f>Inn06_credits</f>
        <v>1</v>
      </c>
      <c r="G1319" s="1122">
        <f>Inn06_user</f>
        <v>0</v>
      </c>
      <c r="I1319" s="908"/>
      <c r="J1319" s="908"/>
      <c r="K1319" s="909"/>
      <c r="L1319" s="831" t="s">
        <v>858</v>
      </c>
      <c r="M1319" s="954">
        <v>9</v>
      </c>
      <c r="N1319" s="953"/>
      <c r="U1319" s="775"/>
      <c r="V1319" s="775"/>
      <c r="W1319" s="822"/>
      <c r="X1319" s="822"/>
      <c r="Y1319" s="942"/>
      <c r="Z1319" s="942"/>
      <c r="AA1319" s="942"/>
    </row>
    <row r="1320" spans="1:27" ht="15.75" thickBot="1" x14ac:dyDescent="0.3">
      <c r="A1320" s="1035">
        <v>1313</v>
      </c>
      <c r="B1320" s="1035" t="s">
        <v>1009</v>
      </c>
      <c r="C1320" s="1035" t="s">
        <v>1008</v>
      </c>
      <c r="D1320" s="1160" t="str">
        <f>Poeng!D115</f>
        <v>Wst 01 Construction site waste man.</v>
      </c>
      <c r="E1320" s="1219" t="str">
        <f t="shared" si="94"/>
        <v>No</v>
      </c>
      <c r="F1320" s="1122">
        <f>Inn07_credits</f>
        <v>1</v>
      </c>
      <c r="G1320" s="1122">
        <f>Inn07_user</f>
        <v>0</v>
      </c>
      <c r="I1320" s="908"/>
      <c r="J1320" s="908"/>
      <c r="K1320" s="909"/>
      <c r="L1320" s="835" t="s">
        <v>859</v>
      </c>
      <c r="M1320" s="955">
        <v>10</v>
      </c>
      <c r="N1320" s="953"/>
      <c r="U1320" s="775"/>
      <c r="V1320" s="775"/>
      <c r="W1320" s="822"/>
      <c r="X1320" s="822"/>
      <c r="Y1320" s="942"/>
      <c r="Z1320" s="942"/>
      <c r="AA1320" s="942"/>
    </row>
    <row r="1321" spans="1:27" x14ac:dyDescent="0.25">
      <c r="A1321" s="1035">
        <v>1314</v>
      </c>
      <c r="B1321" s="1035" t="s">
        <v>1009</v>
      </c>
      <c r="C1321" s="1035" t="s">
        <v>1008</v>
      </c>
      <c r="D1321" s="1160" t="str">
        <f>Poeng!D116</f>
        <v>Wst 02 Recycled aggregatess</v>
      </c>
      <c r="E1321" s="1220" t="str">
        <f t="shared" si="94"/>
        <v>No</v>
      </c>
      <c r="F1321" s="1122">
        <f>Inn08_credits</f>
        <v>1</v>
      </c>
      <c r="G1321" s="1122">
        <f>Inn08_user</f>
        <v>0</v>
      </c>
      <c r="I1321" s="908"/>
      <c r="J1321" s="908"/>
      <c r="K1321" s="909"/>
      <c r="L1321" s="956">
        <f>SUM(G1314:G1322)</f>
        <v>0</v>
      </c>
      <c r="M1321" s="776"/>
      <c r="N1321" s="953"/>
      <c r="U1321" s="775"/>
      <c r="V1321" s="775"/>
      <c r="W1321" s="822"/>
      <c r="X1321" s="822"/>
      <c r="Y1321" s="942"/>
      <c r="Z1321" s="942"/>
      <c r="AA1321" s="942"/>
    </row>
    <row r="1322" spans="1:27" ht="15.75" thickBot="1" x14ac:dyDescent="0.3">
      <c r="A1322" s="1035">
        <v>1315</v>
      </c>
      <c r="B1322" s="1035" t="s">
        <v>1009</v>
      </c>
      <c r="C1322" s="1035" t="s">
        <v>1008</v>
      </c>
      <c r="D1322" s="1123" t="str">
        <f>Poeng!D117</f>
        <v>Approved innovation credits</v>
      </c>
      <c r="E1322" s="1092" t="s">
        <v>15</v>
      </c>
      <c r="F1322" s="1140">
        <f>Inn09_credits</f>
        <v>10</v>
      </c>
      <c r="G1322" s="1140">
        <f>VLOOKUP(E1322,L1310:M1320,2,FALSE)</f>
        <v>0</v>
      </c>
      <c r="I1322" s="908"/>
      <c r="J1322" s="908"/>
      <c r="K1322" s="909"/>
      <c r="L1322" s="952"/>
      <c r="M1322" s="776"/>
      <c r="N1322" s="953"/>
      <c r="U1322" s="775"/>
      <c r="V1322" s="775"/>
      <c r="W1322" s="822"/>
      <c r="X1322" s="822"/>
      <c r="Y1322" s="942"/>
      <c r="Z1322" s="942"/>
      <c r="AA1322" s="942"/>
    </row>
    <row r="1323" spans="1:27" x14ac:dyDescent="0.25">
      <c r="A1323" s="1035">
        <v>1316</v>
      </c>
      <c r="B1323" s="1035" t="s">
        <v>1009</v>
      </c>
      <c r="C1323" s="1035" t="s">
        <v>1008</v>
      </c>
      <c r="I1323" s="908"/>
      <c r="J1323" s="908"/>
      <c r="K1323" s="909"/>
      <c r="L1323" s="952"/>
      <c r="M1323" s="776"/>
      <c r="N1323" s="953"/>
      <c r="U1323" s="775"/>
      <c r="V1323" s="775"/>
      <c r="W1323" s="822"/>
      <c r="X1323" s="822"/>
      <c r="Y1323" s="942"/>
      <c r="Z1323" s="942"/>
      <c r="AA1323" s="942"/>
    </row>
    <row r="1324" spans="1:27" x14ac:dyDescent="0.25">
      <c r="A1324" s="1035">
        <v>1317</v>
      </c>
      <c r="B1324" s="1035" t="s">
        <v>1009</v>
      </c>
      <c r="C1324" s="1035" t="s">
        <v>1008</v>
      </c>
      <c r="D1324" s="1131" t="s">
        <v>357</v>
      </c>
      <c r="E1324" s="1128">
        <f>IF(L1321&gt;E1310,E1310,L1321)</f>
        <v>0</v>
      </c>
      <c r="F1324" s="1187" t="str">
        <f>IF(SUM(G1314:G1322)&gt;10,"max 10 credits","")</f>
        <v/>
      </c>
      <c r="I1324" s="908"/>
      <c r="J1324" s="908"/>
      <c r="K1324" s="909"/>
      <c r="L1324" s="952"/>
      <c r="M1324" s="776"/>
      <c r="N1324" s="953"/>
      <c r="U1324" s="775"/>
      <c r="V1324" s="775"/>
      <c r="W1324" s="822"/>
      <c r="X1324" s="822"/>
      <c r="Y1324" s="942"/>
      <c r="Z1324" s="942"/>
      <c r="AA1324" s="942"/>
    </row>
    <row r="1325" spans="1:27" x14ac:dyDescent="0.25">
      <c r="A1325" s="1035">
        <v>1318</v>
      </c>
      <c r="B1325" s="1035" t="s">
        <v>1009</v>
      </c>
      <c r="C1325" s="1035" t="s">
        <v>1008</v>
      </c>
      <c r="D1325" s="1129" t="s">
        <v>86</v>
      </c>
      <c r="E1325" s="1130">
        <f>Inn_cont_tot</f>
        <v>0</v>
      </c>
      <c r="I1325" s="908"/>
      <c r="J1325" s="908"/>
      <c r="K1325" s="909"/>
      <c r="L1325" s="952"/>
      <c r="M1325" s="776"/>
      <c r="N1325" s="953"/>
      <c r="U1325" s="775"/>
      <c r="V1325" s="775"/>
      <c r="W1325" s="822"/>
      <c r="X1325" s="822"/>
      <c r="Y1325" s="942"/>
      <c r="Z1325" s="942"/>
      <c r="AA1325" s="942"/>
    </row>
    <row r="1326" spans="1:27" x14ac:dyDescent="0.25">
      <c r="A1326" s="1035">
        <v>1319</v>
      </c>
      <c r="B1326" s="1035" t="s">
        <v>1009</v>
      </c>
      <c r="C1326" s="1035" t="s">
        <v>1008</v>
      </c>
      <c r="D1326" s="1132" t="s">
        <v>55</v>
      </c>
      <c r="E1326" s="1133" t="s">
        <v>16</v>
      </c>
      <c r="F1326" s="1134"/>
      <c r="G1326" s="1135"/>
      <c r="I1326" s="908"/>
      <c r="J1326" s="908"/>
      <c r="K1326" s="909"/>
      <c r="L1326" s="952"/>
      <c r="M1326" s="776"/>
      <c r="N1326" s="953"/>
      <c r="U1326" s="775"/>
      <c r="V1326" s="775"/>
      <c r="W1326" s="822"/>
      <c r="X1326" s="822"/>
      <c r="Y1326" s="942"/>
      <c r="Z1326" s="942"/>
      <c r="AA1326" s="942"/>
    </row>
    <row r="1327" spans="1:27" x14ac:dyDescent="0.25">
      <c r="A1327" s="1035">
        <v>1320</v>
      </c>
      <c r="B1327" s="1035" t="s">
        <v>1009</v>
      </c>
      <c r="C1327" s="1035" t="s">
        <v>1008</v>
      </c>
      <c r="I1327" s="908"/>
      <c r="J1327" s="908"/>
      <c r="K1327" s="909"/>
      <c r="L1327" s="952"/>
      <c r="M1327" s="776"/>
      <c r="N1327" s="953"/>
      <c r="U1327" s="775"/>
      <c r="V1327" s="775"/>
      <c r="W1327" s="822"/>
      <c r="X1327" s="822"/>
      <c r="Y1327" s="942"/>
      <c r="Z1327" s="942"/>
      <c r="AA1327" s="942"/>
    </row>
    <row r="1328" spans="1:27" x14ac:dyDescent="0.25">
      <c r="A1328" s="1035">
        <v>1321</v>
      </c>
      <c r="B1328" s="1035" t="s">
        <v>1009</v>
      </c>
      <c r="C1328" s="1035" t="s">
        <v>1008</v>
      </c>
      <c r="D1328" s="1136" t="s">
        <v>359</v>
      </c>
      <c r="E1328" s="1136" t="s">
        <v>977</v>
      </c>
      <c r="F1328" s="1136" t="str">
        <f>HLOOKUP(C1328,'Assessment References'!$H$512:$BG$513,2,FALSE)</f>
        <v/>
      </c>
      <c r="G1328" s="1137"/>
      <c r="H1328" s="1138"/>
      <c r="I1328" s="908"/>
      <c r="J1328" s="908"/>
      <c r="K1328" s="909"/>
      <c r="L1328" s="952"/>
      <c r="M1328" s="776"/>
      <c r="N1328" s="953"/>
      <c r="U1328" s="775"/>
      <c r="V1328" s="775"/>
      <c r="W1328" s="822"/>
      <c r="X1328" s="822"/>
      <c r="Y1328" s="942"/>
      <c r="Z1328" s="942"/>
      <c r="AA1328" s="942"/>
    </row>
    <row r="1329" spans="1:27" x14ac:dyDescent="0.25">
      <c r="A1329" s="1035">
        <v>1322</v>
      </c>
      <c r="B1329" s="1035" t="s">
        <v>1009</v>
      </c>
      <c r="C1329" s="1035" t="s">
        <v>1008</v>
      </c>
      <c r="D1329" s="1363"/>
      <c r="E1329" s="1352"/>
      <c r="F1329" s="1352"/>
      <c r="G1329" s="1352"/>
      <c r="H1329" s="1353"/>
      <c r="I1329" s="908"/>
      <c r="J1329" s="908"/>
      <c r="K1329" s="909"/>
      <c r="L1329" s="952"/>
      <c r="M1329" s="776"/>
      <c r="N1329" s="953"/>
      <c r="U1329" s="775"/>
      <c r="V1329" s="775"/>
      <c r="W1329" s="822"/>
      <c r="X1329" s="822"/>
      <c r="Y1329" s="942"/>
      <c r="Z1329" s="942"/>
      <c r="AA1329" s="942"/>
    </row>
    <row r="1330" spans="1:27" x14ac:dyDescent="0.25">
      <c r="A1330" s="1035">
        <v>1323</v>
      </c>
      <c r="B1330" s="1035" t="s">
        <v>1009</v>
      </c>
      <c r="C1330" s="1035" t="s">
        <v>1008</v>
      </c>
      <c r="D1330" s="1354"/>
      <c r="E1330" s="1355"/>
      <c r="F1330" s="1355"/>
      <c r="G1330" s="1355"/>
      <c r="H1330" s="1356"/>
      <c r="I1330" s="908"/>
      <c r="J1330" s="908"/>
      <c r="K1330" s="909"/>
      <c r="L1330" s="952"/>
      <c r="M1330" s="941"/>
      <c r="N1330" s="957"/>
      <c r="O1330" s="775"/>
      <c r="P1330" s="775"/>
      <c r="Q1330" s="775"/>
      <c r="R1330" s="775"/>
      <c r="S1330" s="775"/>
      <c r="T1330" s="775"/>
      <c r="U1330" s="775"/>
      <c r="V1330" s="775"/>
      <c r="W1330" s="822"/>
      <c r="X1330" s="822"/>
      <c r="Y1330" s="942"/>
      <c r="Z1330" s="942"/>
      <c r="AA1330" s="942"/>
    </row>
    <row r="1331" spans="1:27" x14ac:dyDescent="0.25">
      <c r="A1331" s="1035">
        <v>1324</v>
      </c>
      <c r="B1331" s="1035" t="s">
        <v>1009</v>
      </c>
      <c r="C1331" s="1035" t="s">
        <v>1008</v>
      </c>
      <c r="D1331" s="1354"/>
      <c r="E1331" s="1355"/>
      <c r="F1331" s="1355"/>
      <c r="G1331" s="1355"/>
      <c r="H1331" s="1356"/>
      <c r="I1331" s="908"/>
      <c r="J1331" s="908"/>
      <c r="K1331" s="909"/>
      <c r="L1331" s="820"/>
      <c r="M1331" s="821"/>
      <c r="N1331" s="948"/>
      <c r="O1331" s="775"/>
      <c r="P1331" s="775"/>
      <c r="Q1331" s="775"/>
      <c r="R1331" s="775"/>
      <c r="S1331" s="775"/>
      <c r="T1331" s="775"/>
      <c r="U1331" s="775"/>
      <c r="V1331" s="775"/>
      <c r="W1331" s="822"/>
      <c r="X1331" s="822"/>
      <c r="Y1331" s="823"/>
      <c r="Z1331" s="823"/>
      <c r="AA1331" s="823"/>
    </row>
    <row r="1332" spans="1:27" x14ac:dyDescent="0.25">
      <c r="A1332" s="1035">
        <v>1325</v>
      </c>
      <c r="B1332" s="1035" t="s">
        <v>1009</v>
      </c>
      <c r="C1332" s="1035" t="s">
        <v>1008</v>
      </c>
      <c r="D1332" s="1364"/>
      <c r="E1332" s="1358"/>
      <c r="F1332" s="1358"/>
      <c r="G1332" s="1358"/>
      <c r="H1332" s="1359"/>
      <c r="I1332" s="908"/>
      <c r="J1332" s="908"/>
      <c r="K1332" s="909"/>
      <c r="L1332" s="820"/>
      <c r="M1332" s="821"/>
      <c r="N1332" s="948"/>
      <c r="O1332" s="775"/>
      <c r="P1332" s="775"/>
      <c r="Q1332" s="775"/>
      <c r="R1332" s="775"/>
      <c r="S1332" s="775"/>
      <c r="T1332" s="775"/>
      <c r="U1332" s="775"/>
      <c r="V1332" s="775"/>
      <c r="W1332" s="822"/>
      <c r="X1332" s="822"/>
      <c r="Y1332" s="823"/>
      <c r="Z1332" s="823"/>
      <c r="AA1332" s="823"/>
    </row>
    <row r="1333" spans="1:27" x14ac:dyDescent="0.25">
      <c r="A1333" s="1035">
        <v>1326</v>
      </c>
      <c r="B1333" s="1035" t="s">
        <v>1009</v>
      </c>
      <c r="C1333" s="1035" t="s">
        <v>1008</v>
      </c>
      <c r="D1333" s="1364"/>
      <c r="E1333" s="1358"/>
      <c r="F1333" s="1358"/>
      <c r="G1333" s="1358"/>
      <c r="H1333" s="1359"/>
      <c r="I1333" s="908"/>
      <c r="J1333" s="908"/>
      <c r="K1333" s="909"/>
      <c r="L1333" s="820"/>
      <c r="M1333" s="821"/>
      <c r="N1333" s="948"/>
      <c r="O1333" s="775"/>
      <c r="P1333" s="775"/>
      <c r="Q1333" s="775"/>
      <c r="R1333" s="775"/>
      <c r="S1333" s="775"/>
      <c r="T1333" s="775"/>
      <c r="U1333" s="775"/>
      <c r="V1333" s="775"/>
      <c r="W1333" s="822"/>
      <c r="X1333" s="822"/>
      <c r="Y1333" s="823"/>
      <c r="Z1333" s="823"/>
      <c r="AA1333" s="823"/>
    </row>
    <row r="1334" spans="1:27" x14ac:dyDescent="0.25">
      <c r="A1334" s="1048">
        <v>1327</v>
      </c>
      <c r="B1334" s="1048" t="s">
        <v>1009</v>
      </c>
      <c r="C1334" s="1048" t="s">
        <v>1008</v>
      </c>
      <c r="D1334" s="1360"/>
      <c r="E1334" s="1361"/>
      <c r="F1334" s="1361"/>
      <c r="G1334" s="1361"/>
      <c r="H1334" s="1362"/>
      <c r="I1334" s="908"/>
      <c r="J1334" s="908"/>
      <c r="K1334" s="909"/>
      <c r="L1334" s="820"/>
      <c r="M1334" s="821"/>
      <c r="N1334" s="948"/>
      <c r="O1334" s="775"/>
      <c r="P1334" s="775"/>
      <c r="Q1334" s="775"/>
      <c r="R1334" s="775"/>
      <c r="S1334" s="775"/>
      <c r="T1334" s="775"/>
      <c r="U1334" s="775"/>
      <c r="V1334" s="775"/>
      <c r="W1334" s="822"/>
      <c r="X1334" s="822"/>
      <c r="Y1334" s="823"/>
      <c r="Z1334" s="823"/>
      <c r="AA1334" s="823"/>
    </row>
    <row r="1335" spans="1:27" ht="15.75" thickBot="1" x14ac:dyDescent="0.3">
      <c r="A1335" s="1049">
        <v>1328</v>
      </c>
      <c r="B1335" s="1049" t="s">
        <v>1009</v>
      </c>
      <c r="C1335" s="1049" t="s">
        <v>1008</v>
      </c>
      <c r="D1335" s="1221"/>
      <c r="E1335" s="1221"/>
      <c r="F1335" s="1221"/>
      <c r="G1335" s="1221"/>
      <c r="H1335" s="1221"/>
      <c r="I1335" s="958"/>
      <c r="J1335" s="958"/>
      <c r="K1335" s="959"/>
      <c r="L1335" s="960"/>
      <c r="M1335" s="961"/>
      <c r="N1335" s="962"/>
      <c r="O1335" s="822"/>
      <c r="P1335" s="822"/>
      <c r="Q1335" s="822"/>
      <c r="R1335" s="822"/>
      <c r="S1335" s="822"/>
      <c r="T1335" s="822"/>
      <c r="U1335" s="822"/>
      <c r="V1335" s="822"/>
      <c r="W1335" s="822"/>
      <c r="X1335" s="822"/>
      <c r="Y1335" s="823"/>
      <c r="Z1335" s="823"/>
      <c r="AA1335" s="823"/>
    </row>
    <row r="1336" spans="1:27" x14ac:dyDescent="0.25">
      <c r="A1336" s="963"/>
      <c r="I1336" s="911"/>
      <c r="J1336" s="911"/>
      <c r="K1336" s="911"/>
      <c r="L1336" s="911"/>
      <c r="M1336" s="911"/>
      <c r="N1336" s="911"/>
      <c r="O1336" s="911"/>
      <c r="P1336" s="822"/>
      <c r="Q1336" s="822"/>
      <c r="R1336" s="822"/>
      <c r="S1336" s="822"/>
      <c r="T1336" s="822"/>
      <c r="U1336" s="822"/>
      <c r="V1336" s="822"/>
      <c r="W1336" s="822"/>
      <c r="X1336" s="822"/>
      <c r="Y1336" s="823"/>
      <c r="Z1336" s="823"/>
      <c r="AA1336" s="823"/>
    </row>
    <row r="1337" spans="1:27" x14ac:dyDescent="0.25">
      <c r="A1337" s="963"/>
      <c r="I1337" s="911"/>
      <c r="J1337" s="911"/>
      <c r="K1337" s="911"/>
      <c r="L1337" s="911"/>
      <c r="M1337" s="911"/>
      <c r="N1337" s="911"/>
      <c r="O1337" s="911"/>
      <c r="P1337" s="822"/>
      <c r="Q1337" s="822"/>
      <c r="R1337" s="822"/>
      <c r="S1337" s="822"/>
      <c r="T1337" s="822"/>
      <c r="U1337" s="822"/>
      <c r="V1337" s="822"/>
      <c r="W1337" s="822"/>
      <c r="X1337" s="822"/>
      <c r="Y1337" s="823"/>
      <c r="Z1337" s="823"/>
      <c r="AA1337" s="823"/>
    </row>
    <row r="1338" spans="1:27" x14ac:dyDescent="0.25">
      <c r="A1338" s="963"/>
      <c r="I1338" s="911"/>
      <c r="J1338" s="911"/>
      <c r="K1338" s="911"/>
      <c r="L1338" s="911"/>
      <c r="M1338" s="911"/>
      <c r="N1338" s="911"/>
      <c r="O1338" s="911"/>
      <c r="P1338" s="822"/>
      <c r="Q1338" s="822"/>
      <c r="R1338" s="822"/>
      <c r="S1338" s="822"/>
      <c r="T1338" s="822"/>
      <c r="U1338" s="822"/>
      <c r="V1338" s="822"/>
      <c r="W1338" s="822"/>
      <c r="X1338" s="822"/>
      <c r="Y1338" s="823"/>
      <c r="Z1338" s="823"/>
      <c r="AA1338" s="823"/>
    </row>
    <row r="1339" spans="1:27" x14ac:dyDescent="0.25">
      <c r="A1339" s="963"/>
      <c r="D1339" s="826"/>
      <c r="E1339" s="826"/>
      <c r="F1339" s="826"/>
      <c r="G1339" s="826"/>
      <c r="H1339" s="826"/>
      <c r="I1339" s="911"/>
      <c r="J1339" s="911"/>
      <c r="K1339" s="911"/>
      <c r="L1339" s="911"/>
      <c r="M1339" s="911"/>
      <c r="N1339" s="911"/>
      <c r="O1339" s="911"/>
      <c r="P1339" s="822"/>
      <c r="Q1339" s="822"/>
      <c r="R1339" s="822"/>
      <c r="S1339" s="822"/>
      <c r="T1339" s="822"/>
      <c r="U1339" s="822"/>
      <c r="V1339" s="822"/>
      <c r="W1339" s="822"/>
      <c r="X1339" s="822"/>
      <c r="Y1339" s="823"/>
      <c r="Z1339" s="823"/>
      <c r="AA1339" s="823"/>
    </row>
    <row r="1340" spans="1:27" x14ac:dyDescent="0.25">
      <c r="A1340" s="963"/>
      <c r="D1340" s="964"/>
      <c r="E1340" s="826"/>
      <c r="F1340" s="826"/>
      <c r="G1340" s="826"/>
      <c r="H1340" s="826"/>
      <c r="I1340" s="911"/>
      <c r="J1340" s="911"/>
      <c r="K1340" s="911"/>
      <c r="L1340" s="911"/>
      <c r="M1340" s="911"/>
      <c r="N1340" s="911"/>
      <c r="O1340" s="911"/>
      <c r="P1340" s="805"/>
      <c r="Q1340" s="805"/>
      <c r="R1340" s="805"/>
      <c r="S1340" s="805"/>
      <c r="T1340" s="805"/>
      <c r="U1340" s="805"/>
      <c r="V1340" s="805"/>
      <c r="W1340" s="805"/>
      <c r="X1340" s="805"/>
      <c r="Y1340" s="823"/>
      <c r="Z1340" s="823"/>
      <c r="AA1340" s="823"/>
    </row>
    <row r="1341" spans="1:27" x14ac:dyDescent="0.25">
      <c r="A1341" s="963"/>
      <c r="D1341" s="826"/>
      <c r="E1341" s="826"/>
      <c r="F1341" s="826"/>
      <c r="G1341" s="826"/>
      <c r="H1341" s="826"/>
      <c r="I1341" s="911"/>
      <c r="J1341" s="911"/>
      <c r="K1341" s="911"/>
      <c r="L1341" s="911"/>
      <c r="M1341" s="911"/>
      <c r="N1341" s="911"/>
      <c r="O1341" s="911"/>
      <c r="P1341" s="805"/>
      <c r="Q1341" s="805"/>
      <c r="R1341" s="805"/>
      <c r="S1341" s="805"/>
      <c r="T1341" s="805"/>
      <c r="U1341" s="805"/>
      <c r="V1341" s="805"/>
      <c r="W1341" s="805"/>
      <c r="X1341" s="805"/>
      <c r="Y1341" s="823"/>
      <c r="Z1341" s="823"/>
      <c r="AA1341" s="823"/>
    </row>
    <row r="1342" spans="1:27" x14ac:dyDescent="0.25">
      <c r="D1342" s="826"/>
      <c r="E1342" s="826"/>
      <c r="F1342" s="826"/>
      <c r="G1342" s="826"/>
      <c r="H1342" s="826"/>
      <c r="I1342" s="911"/>
      <c r="J1342" s="911"/>
      <c r="K1342" s="911"/>
      <c r="L1342" s="911"/>
      <c r="M1342" s="911"/>
      <c r="N1342" s="911"/>
      <c r="O1342" s="911"/>
      <c r="Y1342" s="823"/>
      <c r="Z1342" s="823"/>
      <c r="AA1342" s="823"/>
    </row>
    <row r="1343" spans="1:27" x14ac:dyDescent="0.25">
      <c r="E1343" s="826"/>
      <c r="F1343" s="826"/>
      <c r="G1343" s="826"/>
      <c r="H1343" s="826"/>
      <c r="I1343" s="911"/>
      <c r="J1343" s="911"/>
      <c r="K1343" s="911"/>
      <c r="L1343" s="911"/>
      <c r="M1343" s="911"/>
      <c r="N1343" s="911"/>
      <c r="O1343" s="911"/>
      <c r="Y1343" s="823"/>
      <c r="Z1343" s="823"/>
      <c r="AA1343" s="823"/>
    </row>
    <row r="1344" spans="1:27" x14ac:dyDescent="0.25">
      <c r="E1344" s="826"/>
      <c r="F1344" s="826"/>
      <c r="G1344" s="826"/>
      <c r="H1344" s="826"/>
      <c r="I1344" s="826"/>
      <c r="J1344" s="826"/>
      <c r="K1344" s="826"/>
      <c r="L1344" s="823"/>
      <c r="M1344" s="823"/>
      <c r="Y1344" s="823"/>
      <c r="Z1344" s="823"/>
      <c r="AA1344" s="823"/>
    </row>
    <row r="1345" spans="4:27" x14ac:dyDescent="0.25">
      <c r="E1345" s="826"/>
      <c r="F1345" s="826"/>
      <c r="G1345" s="826"/>
      <c r="H1345" s="826"/>
      <c r="I1345" s="826"/>
      <c r="J1345" s="826"/>
      <c r="K1345" s="826"/>
      <c r="L1345" s="823"/>
      <c r="M1345" s="823"/>
      <c r="Y1345" s="823"/>
      <c r="Z1345" s="823"/>
      <c r="AA1345" s="823"/>
    </row>
    <row r="1346" spans="4:27" x14ac:dyDescent="0.25">
      <c r="D1346" s="826"/>
      <c r="E1346" s="826"/>
      <c r="F1346" s="826"/>
      <c r="G1346" s="826"/>
      <c r="H1346" s="826"/>
      <c r="I1346" s="826"/>
      <c r="J1346" s="826"/>
      <c r="K1346" s="826"/>
      <c r="L1346" s="823"/>
      <c r="M1346" s="823"/>
      <c r="Y1346" s="823"/>
      <c r="Z1346" s="823"/>
      <c r="AA1346" s="823"/>
    </row>
    <row r="1348" spans="4:27" x14ac:dyDescent="0.25">
      <c r="D1348" s="826"/>
    </row>
    <row r="1351" spans="4:27" x14ac:dyDescent="0.25">
      <c r="D1351" s="826"/>
    </row>
    <row r="1353" spans="4:27" x14ac:dyDescent="0.25">
      <c r="D1353" s="826"/>
    </row>
  </sheetData>
  <sheetProtection algorithmName="SHA-512" hashValue="Dbj0cZCfr56zPERHF6GQkEm+v/yTK3sNvApn+QcVBA8qK5EEzv87CJt+XFuA0G0iijexH+8MuceROQg2y0p41A==" saltValue="RjfgI6BbSzY/BxBq0Wmj3A==" spinCount="100000" sheet="1" formatCells="0" formatRows="0" selectLockedCells="1" autoFilter="0"/>
  <protectedRanges>
    <protectedRange sqref="A10:H10 B168:H168 B380:H380 B631:H631 B764:H764 B864:H864 B960:H960 B1061:H1061 B1180:H1180 B1307:H1307" name="Sortering_1"/>
    <protectedRange sqref="D89:E96 F106:G108 D107:E108 D83:H87 D210:E211 F209:G211 D231:H232 D235:E236 F234:H236 D276:E276 D256:H257 D321:H321 D341:H342 D412:H414 D417:H418 D459:H460 D480:H482 D502:H503 D523:E523 D526:H528 D570:H570 D591:H591 D640:H641 D637 D661:H661 D771 D681:H682 D685:H686 D709:H709 D705:E706 D729:H729 F771:H771 F914:H915 D784:E785 F783:F785 D299:H302 D532:G542 D805:H808 D828:H829 D849:H849 D891:G895 D914:E914 D945:H945 H981:H982 D999:H999 D1025:G1026 D1071:H1071 D1068:H1068 D1091:H1091 E1092 D1271:H1271 D1164:G1164 D1161:E1161 H1161 D1291:H1292 F1222 D1247:H1251 D1113:H1114 H967:H974 D968:F972 D973:E974 D874:G878 D871:H872 D880:G883 D48:H48 D68:E68 D76:H77 D79:H81 E88 D279:H279 D362:H365 D387:H388 D438:H439 D530:H531 D562:F567 H562:H567 D749:H749 D1314:H1322 D885:G889 D97:G97 D99:E105 G105 F88:G96 F98:G104 D208:G208 D212:G212 D109:G109 D779:E779 D917:G924 D975:H976 D967:G967 D978:H980 D1019:H1022 D1046:H1046 D1093:H1093 G1096 D1134:H1141 D17:H20 D40:H41 D44:H45 D71:H74 D128:H130 D150:H153 D175:H178 E391:E393 F390:G392 D391:D392 D1227:H1227 D925 D1200:G1200 D1198:E1199 F773:F775 D774:E776 D1189:G1197 F1188:H1188 D1186:E1188 F1186:H1186 D1223:F1226 H1223:H1226 G1222:G1226 H1190:H1201 D1220:G1221 H1220 D611:H616 D198:H207" name="Sortering_2"/>
  </protectedRanges>
  <autoFilter ref="A9:N1335" xr:uid="{00000000-0009-0000-0000-000003000000}"/>
  <dataConsolidate/>
  <mergeCells count="312">
    <mergeCell ref="D1329:H1329"/>
    <mergeCell ref="D1330:H1330"/>
    <mergeCell ref="D1331:H1331"/>
    <mergeCell ref="D1332:H1332"/>
    <mergeCell ref="D1333:H1333"/>
    <mergeCell ref="D1334:H1334"/>
    <mergeCell ref="D1300:H1300"/>
    <mergeCell ref="D1301:H1301"/>
    <mergeCell ref="D1302:H1302"/>
    <mergeCell ref="D1303:H1303"/>
    <mergeCell ref="D1304:H1304"/>
    <mergeCell ref="D1305:H1305"/>
    <mergeCell ref="D1279:H1279"/>
    <mergeCell ref="D1280:H1280"/>
    <mergeCell ref="D1281:H1281"/>
    <mergeCell ref="D1282:H1282"/>
    <mergeCell ref="D1283:H1283"/>
    <mergeCell ref="D1284:H1284"/>
    <mergeCell ref="D1259:H1259"/>
    <mergeCell ref="D1260:H1260"/>
    <mergeCell ref="D1261:H1261"/>
    <mergeCell ref="D1262:H1262"/>
    <mergeCell ref="D1263:H1263"/>
    <mergeCell ref="D1264:H1264"/>
    <mergeCell ref="D1235:H1235"/>
    <mergeCell ref="D1236:H1236"/>
    <mergeCell ref="D1237:H1237"/>
    <mergeCell ref="D1238:H1238"/>
    <mergeCell ref="D1239:H1239"/>
    <mergeCell ref="D1240:H1240"/>
    <mergeCell ref="D1208:H1208"/>
    <mergeCell ref="D1209:H1209"/>
    <mergeCell ref="D1210:H1210"/>
    <mergeCell ref="D1211:H1211"/>
    <mergeCell ref="D1212:H1212"/>
    <mergeCell ref="D1213:H1213"/>
    <mergeCell ref="D1173:H1173"/>
    <mergeCell ref="D1174:H1174"/>
    <mergeCell ref="D1175:H1175"/>
    <mergeCell ref="D1176:H1176"/>
    <mergeCell ref="D1177:H1177"/>
    <mergeCell ref="D1178:H1178"/>
    <mergeCell ref="D1149:H1149"/>
    <mergeCell ref="D1150:H1150"/>
    <mergeCell ref="D1151:H1151"/>
    <mergeCell ref="D1152:H1152"/>
    <mergeCell ref="D1153:H1153"/>
    <mergeCell ref="D1154:H1154"/>
    <mergeCell ref="D1122:H1122"/>
    <mergeCell ref="D1123:H1123"/>
    <mergeCell ref="D1124:H1124"/>
    <mergeCell ref="D1125:H1125"/>
    <mergeCell ref="D1126:H1126"/>
    <mergeCell ref="D1127:H1127"/>
    <mergeCell ref="D1101:H1101"/>
    <mergeCell ref="D1102:H1102"/>
    <mergeCell ref="D1103:H1103"/>
    <mergeCell ref="D1104:H1104"/>
    <mergeCell ref="D1105:H1105"/>
    <mergeCell ref="D1106:H1106"/>
    <mergeCell ref="D1079:H1079"/>
    <mergeCell ref="D1080:H1080"/>
    <mergeCell ref="D1081:H1081"/>
    <mergeCell ref="D1082:H1082"/>
    <mergeCell ref="D1083:H1083"/>
    <mergeCell ref="D1084:H1084"/>
    <mergeCell ref="D1054:H1054"/>
    <mergeCell ref="D1055:H1055"/>
    <mergeCell ref="D1056:H1056"/>
    <mergeCell ref="D1057:H1057"/>
    <mergeCell ref="D1058:H1058"/>
    <mergeCell ref="D1059:H1059"/>
    <mergeCell ref="D1034:H1034"/>
    <mergeCell ref="D1035:H1035"/>
    <mergeCell ref="D1036:H1036"/>
    <mergeCell ref="D1037:H1037"/>
    <mergeCell ref="D1038:H1038"/>
    <mergeCell ref="D1039:H1039"/>
    <mergeCell ref="D987:H987"/>
    <mergeCell ref="D988:H988"/>
    <mergeCell ref="D989:H989"/>
    <mergeCell ref="D990:H990"/>
    <mergeCell ref="D991:H991"/>
    <mergeCell ref="D992:H992"/>
    <mergeCell ref="D1007:H1007"/>
    <mergeCell ref="D1008:H1008"/>
    <mergeCell ref="D1009:H1009"/>
    <mergeCell ref="D1010:H1010"/>
    <mergeCell ref="D1011:H1011"/>
    <mergeCell ref="D1012:H1012"/>
    <mergeCell ref="D953:H953"/>
    <mergeCell ref="D954:H954"/>
    <mergeCell ref="D955:H955"/>
    <mergeCell ref="D956:H956"/>
    <mergeCell ref="D957:H957"/>
    <mergeCell ref="D958:H958"/>
    <mergeCell ref="D933:H933"/>
    <mergeCell ref="D934:H934"/>
    <mergeCell ref="D935:H935"/>
    <mergeCell ref="D936:H936"/>
    <mergeCell ref="D937:H937"/>
    <mergeCell ref="D938:H938"/>
    <mergeCell ref="D902:H902"/>
    <mergeCell ref="D903:H903"/>
    <mergeCell ref="D904:H904"/>
    <mergeCell ref="D905:H905"/>
    <mergeCell ref="D906:H906"/>
    <mergeCell ref="D907:H907"/>
    <mergeCell ref="D857:H857"/>
    <mergeCell ref="D858:H858"/>
    <mergeCell ref="D859:H859"/>
    <mergeCell ref="D860:H860"/>
    <mergeCell ref="D861:H861"/>
    <mergeCell ref="D862:H862"/>
    <mergeCell ref="D837:H837"/>
    <mergeCell ref="D838:H838"/>
    <mergeCell ref="D839:H839"/>
    <mergeCell ref="D840:H840"/>
    <mergeCell ref="D841:H841"/>
    <mergeCell ref="D842:H842"/>
    <mergeCell ref="D816:H816"/>
    <mergeCell ref="D817:H817"/>
    <mergeCell ref="D818:H818"/>
    <mergeCell ref="D819:H819"/>
    <mergeCell ref="D820:H820"/>
    <mergeCell ref="D821:H821"/>
    <mergeCell ref="D793:H793"/>
    <mergeCell ref="D794:H794"/>
    <mergeCell ref="D795:H795"/>
    <mergeCell ref="D796:H796"/>
    <mergeCell ref="D797:H797"/>
    <mergeCell ref="D798:H798"/>
    <mergeCell ref="D757:H757"/>
    <mergeCell ref="D758:H758"/>
    <mergeCell ref="D759:H759"/>
    <mergeCell ref="D760:H760"/>
    <mergeCell ref="D761:H761"/>
    <mergeCell ref="D762:H762"/>
    <mergeCell ref="D737:H737"/>
    <mergeCell ref="D738:H738"/>
    <mergeCell ref="D739:H739"/>
    <mergeCell ref="D740:H740"/>
    <mergeCell ref="D741:H741"/>
    <mergeCell ref="D742:H742"/>
    <mergeCell ref="D717:H717"/>
    <mergeCell ref="D718:H718"/>
    <mergeCell ref="D719:H719"/>
    <mergeCell ref="D720:H720"/>
    <mergeCell ref="D721:H721"/>
    <mergeCell ref="D722:H722"/>
    <mergeCell ref="D694:H694"/>
    <mergeCell ref="D695:H695"/>
    <mergeCell ref="D696:H696"/>
    <mergeCell ref="D697:H697"/>
    <mergeCell ref="D698:H698"/>
    <mergeCell ref="D699:H699"/>
    <mergeCell ref="D669:H669"/>
    <mergeCell ref="D670:H670"/>
    <mergeCell ref="D671:H671"/>
    <mergeCell ref="D672:H672"/>
    <mergeCell ref="D673:H673"/>
    <mergeCell ref="D674:H674"/>
    <mergeCell ref="D649:H649"/>
    <mergeCell ref="D650:H650"/>
    <mergeCell ref="D651:H651"/>
    <mergeCell ref="D652:H652"/>
    <mergeCell ref="D653:H653"/>
    <mergeCell ref="D654:H654"/>
    <mergeCell ref="D624:H624"/>
    <mergeCell ref="D625:H625"/>
    <mergeCell ref="D626:H626"/>
    <mergeCell ref="D627:H627"/>
    <mergeCell ref="D628:H628"/>
    <mergeCell ref="D629:H629"/>
    <mergeCell ref="D599:H599"/>
    <mergeCell ref="D600:H600"/>
    <mergeCell ref="D601:H601"/>
    <mergeCell ref="D602:H602"/>
    <mergeCell ref="D603:H603"/>
    <mergeCell ref="D604:H604"/>
    <mergeCell ref="D579:H579"/>
    <mergeCell ref="D580:H580"/>
    <mergeCell ref="D581:H581"/>
    <mergeCell ref="D582:H582"/>
    <mergeCell ref="D583:H583"/>
    <mergeCell ref="D584:H584"/>
    <mergeCell ref="D550:H550"/>
    <mergeCell ref="D551:H551"/>
    <mergeCell ref="D552:H552"/>
    <mergeCell ref="D553:H553"/>
    <mergeCell ref="D554:H554"/>
    <mergeCell ref="D555:H555"/>
    <mergeCell ref="D511:H511"/>
    <mergeCell ref="D512:H512"/>
    <mergeCell ref="D513:H513"/>
    <mergeCell ref="D514:H514"/>
    <mergeCell ref="D515:H515"/>
    <mergeCell ref="D516:H516"/>
    <mergeCell ref="D490:H490"/>
    <mergeCell ref="D491:H491"/>
    <mergeCell ref="D492:H492"/>
    <mergeCell ref="D493:H493"/>
    <mergeCell ref="D494:H494"/>
    <mergeCell ref="D495:H495"/>
    <mergeCell ref="D468:H468"/>
    <mergeCell ref="D469:H469"/>
    <mergeCell ref="D470:H470"/>
    <mergeCell ref="D471:H471"/>
    <mergeCell ref="D472:H472"/>
    <mergeCell ref="D473:H473"/>
    <mergeCell ref="D447:H447"/>
    <mergeCell ref="D448:H448"/>
    <mergeCell ref="D449:H449"/>
    <mergeCell ref="D450:H450"/>
    <mergeCell ref="D451:H451"/>
    <mergeCell ref="D452:H452"/>
    <mergeCell ref="D426:H426"/>
    <mergeCell ref="D427:H427"/>
    <mergeCell ref="D428:H428"/>
    <mergeCell ref="D429:H429"/>
    <mergeCell ref="D430:H430"/>
    <mergeCell ref="D431:H431"/>
    <mergeCell ref="D400:H400"/>
    <mergeCell ref="D401:H401"/>
    <mergeCell ref="D402:H402"/>
    <mergeCell ref="D403:H403"/>
    <mergeCell ref="D404:H404"/>
    <mergeCell ref="D405:H405"/>
    <mergeCell ref="D373:H373"/>
    <mergeCell ref="D374:H374"/>
    <mergeCell ref="D375:H375"/>
    <mergeCell ref="D376:H376"/>
    <mergeCell ref="D377:H377"/>
    <mergeCell ref="D378:H378"/>
    <mergeCell ref="D350:H350"/>
    <mergeCell ref="D351:H351"/>
    <mergeCell ref="D352:H352"/>
    <mergeCell ref="D353:H353"/>
    <mergeCell ref="D354:H354"/>
    <mergeCell ref="D355:H355"/>
    <mergeCell ref="D329:H329"/>
    <mergeCell ref="D330:H330"/>
    <mergeCell ref="D331:H331"/>
    <mergeCell ref="D332:H332"/>
    <mergeCell ref="D333:H333"/>
    <mergeCell ref="D334:H334"/>
    <mergeCell ref="D309:H309"/>
    <mergeCell ref="D310:H310"/>
    <mergeCell ref="D311:H311"/>
    <mergeCell ref="D312:H312"/>
    <mergeCell ref="D313:H313"/>
    <mergeCell ref="D314:H314"/>
    <mergeCell ref="D287:H287"/>
    <mergeCell ref="D288:H288"/>
    <mergeCell ref="D289:H289"/>
    <mergeCell ref="D290:H290"/>
    <mergeCell ref="D291:H291"/>
    <mergeCell ref="D292:H292"/>
    <mergeCell ref="D265:H265"/>
    <mergeCell ref="D266:H266"/>
    <mergeCell ref="D267:H267"/>
    <mergeCell ref="D268:H268"/>
    <mergeCell ref="D269:H269"/>
    <mergeCell ref="D270:H270"/>
    <mergeCell ref="D244:H244"/>
    <mergeCell ref="D245:H245"/>
    <mergeCell ref="D246:H246"/>
    <mergeCell ref="D247:H247"/>
    <mergeCell ref="D248:H248"/>
    <mergeCell ref="D249:H249"/>
    <mergeCell ref="D219:H219"/>
    <mergeCell ref="D220:H220"/>
    <mergeCell ref="D221:H221"/>
    <mergeCell ref="D222:H222"/>
    <mergeCell ref="D223:H223"/>
    <mergeCell ref="D224:H224"/>
    <mergeCell ref="D186:H186"/>
    <mergeCell ref="D187:H187"/>
    <mergeCell ref="D188:H188"/>
    <mergeCell ref="D189:H189"/>
    <mergeCell ref="D190:H190"/>
    <mergeCell ref="D191:H191"/>
    <mergeCell ref="D161:H161"/>
    <mergeCell ref="D162:H162"/>
    <mergeCell ref="D163:H163"/>
    <mergeCell ref="D164:H164"/>
    <mergeCell ref="D165:H165"/>
    <mergeCell ref="D166:H166"/>
    <mergeCell ref="D138:H138"/>
    <mergeCell ref="D139:H139"/>
    <mergeCell ref="D140:H140"/>
    <mergeCell ref="D141:H141"/>
    <mergeCell ref="D142:H142"/>
    <mergeCell ref="D143:H143"/>
    <mergeCell ref="D119:H119"/>
    <mergeCell ref="D120:H120"/>
    <mergeCell ref="D121:H121"/>
    <mergeCell ref="D56:H56"/>
    <mergeCell ref="D57:H57"/>
    <mergeCell ref="D58:H58"/>
    <mergeCell ref="D59:H59"/>
    <mergeCell ref="D60:H60"/>
    <mergeCell ref="D61:H61"/>
    <mergeCell ref="D28:H28"/>
    <mergeCell ref="D29:H29"/>
    <mergeCell ref="D30:H30"/>
    <mergeCell ref="D31:H31"/>
    <mergeCell ref="D32:H32"/>
    <mergeCell ref="D33:H33"/>
    <mergeCell ref="D116:H116"/>
    <mergeCell ref="D117:H117"/>
    <mergeCell ref="D118:H118"/>
  </mergeCells>
  <conditionalFormatting sqref="E76 E79:E80 E83:E86 E89:E96 E99:E104 E107:E108 E110:E112 E113:G113 E71 E72 E73">
    <cfRule type="expression" dxfId="222" priority="99">
      <formula>OR($E$68=AIS_No,$E$68=AIS_PS)</formula>
    </cfRule>
  </conditionalFormatting>
  <conditionalFormatting sqref="E84:E86 E89:E96 E99:E104 E107:E108">
    <cfRule type="expression" dxfId="221" priority="98">
      <formula>OR($E$83=AIS_No,$E$83=AIS_PS)</formula>
    </cfRule>
  </conditionalFormatting>
  <conditionalFormatting sqref="E91:E96 E101:E104">
    <cfRule type="expression" dxfId="220" priority="97">
      <formula>OR($E$86=AIS_No,$E$86=AIS_PS)</formula>
    </cfRule>
  </conditionalFormatting>
  <conditionalFormatting sqref="E107:E108">
    <cfRule type="expression" dxfId="219" priority="96">
      <formula>OR($E$85=AIS_No,$E$85=AIS_PS)</formula>
    </cfRule>
  </conditionalFormatting>
  <conditionalFormatting sqref="E89:E90 E99:E100">
    <cfRule type="expression" dxfId="218" priority="95">
      <formula>OR($E$84=AIS_No,$E$84=AIS_PS)</formula>
    </cfRule>
  </conditionalFormatting>
  <conditionalFormatting sqref="E176 E180:E182 E183:G183 E177 E178">
    <cfRule type="expression" dxfId="217" priority="94">
      <formula>OR($E$175=AIS_No,$E$175=AIS_PS)</formula>
    </cfRule>
  </conditionalFormatting>
  <conditionalFormatting sqref="D177:D178 F177:H178 E177 E178">
    <cfRule type="expression" dxfId="216" priority="91">
      <formula>$F$176=4</formula>
    </cfRule>
  </conditionalFormatting>
  <conditionalFormatting sqref="D177 F177:H177 E177">
    <cfRule type="expression" dxfId="215" priority="90">
      <formula>$F$176=4</formula>
    </cfRule>
  </conditionalFormatting>
  <conditionalFormatting sqref="E199:E200">
    <cfRule type="expression" dxfId="214" priority="89">
      <formula>OR($E$198=AIS_No,$E$198=AIS_PS)</formula>
    </cfRule>
  </conditionalFormatting>
  <conditionalFormatting sqref="D204:H204">
    <cfRule type="expression" dxfId="213" priority="88">
      <formula>AND($F$204=0,$F$202=1)</formula>
    </cfRule>
  </conditionalFormatting>
  <conditionalFormatting sqref="D202:H204">
    <cfRule type="expression" dxfId="212" priority="87">
      <formula>$F$202=0</formula>
    </cfRule>
  </conditionalFormatting>
  <conditionalFormatting sqref="D202:H202">
    <cfRule type="expression" dxfId="211" priority="86">
      <formula>$F$202=0</formula>
    </cfRule>
  </conditionalFormatting>
  <conditionalFormatting sqref="E206:E207">
    <cfRule type="expression" dxfId="210" priority="85">
      <formula>$G$200=0</formula>
    </cfRule>
  </conditionalFormatting>
  <conditionalFormatting sqref="E210:E211">
    <cfRule type="expression" dxfId="209" priority="84">
      <formula>$F$206=0</formula>
    </cfRule>
  </conditionalFormatting>
  <conditionalFormatting sqref="F210:F211">
    <cfRule type="expression" dxfId="208" priority="83">
      <formula>$F$206=0</formula>
    </cfRule>
  </conditionalFormatting>
  <conditionalFormatting sqref="E210">
    <cfRule type="expression" dxfId="207" priority="82">
      <formula>AND($F$206=1,OR($E$206=AIS_No,$E$206=AIS_PS))</formula>
    </cfRule>
  </conditionalFormatting>
  <conditionalFormatting sqref="E211">
    <cfRule type="expression" dxfId="206" priority="81">
      <formula>AND($F$206=1,OR($E$207=AIS_No,$E$207=AIS_PS))</formula>
    </cfRule>
  </conditionalFormatting>
  <conditionalFormatting sqref="E231:E232 E235:E236 E238:E240 E241:G241 D244:H249">
    <cfRule type="expression" dxfId="205" priority="78">
      <formula>$E$227=0</formula>
    </cfRule>
  </conditionalFormatting>
  <conditionalFormatting sqref="F235:F236">
    <cfRule type="expression" dxfId="204" priority="75">
      <formula>OR($E$231=AIS_No,$E$231=AIS_PS)</formula>
    </cfRule>
    <cfRule type="expression" dxfId="203" priority="77">
      <formula>$E$227=0</formula>
    </cfRule>
  </conditionalFormatting>
  <conditionalFormatting sqref="E235:E236">
    <cfRule type="expression" dxfId="202" priority="76">
      <formula>OR($E$231=AIS_No,$E$231=AIS_PS)</formula>
    </cfRule>
  </conditionalFormatting>
  <conditionalFormatting sqref="E232">
    <cfRule type="expression" dxfId="201" priority="74">
      <formula>OR($E$231=AIS_No,$E$231=AIS_PS)</formula>
    </cfRule>
  </conditionalFormatting>
  <conditionalFormatting sqref="E279 E281:E283 E284:G284">
    <cfRule type="expression" dxfId="200" priority="73">
      <formula>OR($E$276=AIS_No,$E$276=AIS_PS)</formula>
    </cfRule>
  </conditionalFormatting>
  <conditionalFormatting sqref="E299:E301 E303:E306 F306:G306 D309:H314">
    <cfRule type="expression" dxfId="199" priority="72">
      <formula>$E$295=0</formula>
    </cfRule>
  </conditionalFormatting>
  <conditionalFormatting sqref="D301:H301">
    <cfRule type="expression" dxfId="198" priority="71">
      <formula>$F$301=0</formula>
    </cfRule>
  </conditionalFormatting>
  <conditionalFormatting sqref="E301">
    <cfRule type="expression" dxfId="197" priority="70">
      <formula>AND($E$295=3,$E$300=AIS_No)</formula>
    </cfRule>
  </conditionalFormatting>
  <conditionalFormatting sqref="E321 E323:E325 E326:G326 D329:H334">
    <cfRule type="expression" dxfId="196" priority="69">
      <formula>$E$317=0</formula>
    </cfRule>
  </conditionalFormatting>
  <conditionalFormatting sqref="E341:E342 E344:E346 E347:G347 D350:H355">
    <cfRule type="expression" dxfId="195" priority="68">
      <formula>$E$337=0</formula>
    </cfRule>
  </conditionalFormatting>
  <conditionalFormatting sqref="E364">
    <cfRule type="expression" dxfId="194" priority="67">
      <formula>$F$364=0</formula>
    </cfRule>
  </conditionalFormatting>
  <conditionalFormatting sqref="E365">
    <cfRule type="expression" dxfId="193" priority="66">
      <formula>$F$365=0</formula>
    </cfRule>
  </conditionalFormatting>
  <conditionalFormatting sqref="D411:H414">
    <cfRule type="expression" dxfId="192" priority="65">
      <formula>$F$412=0</formula>
    </cfRule>
  </conditionalFormatting>
  <conditionalFormatting sqref="D416:H418">
    <cfRule type="expression" dxfId="191" priority="64">
      <formula>$F$417=0</formula>
    </cfRule>
  </conditionalFormatting>
  <conditionalFormatting sqref="E460">
    <cfRule type="expression" dxfId="190" priority="63">
      <formula>OR($E$459=AIS_No,$E$459=AIS_PS)</formula>
    </cfRule>
  </conditionalFormatting>
  <conditionalFormatting sqref="E480:E482 E484:E486 E487:G487 D490:H495">
    <cfRule type="expression" dxfId="189" priority="62">
      <formula>$E$476=0</formula>
    </cfRule>
  </conditionalFormatting>
  <conditionalFormatting sqref="E482">
    <cfRule type="expression" dxfId="188" priority="61">
      <formula>$E$480=AIS_No</formula>
    </cfRule>
  </conditionalFormatting>
  <conditionalFormatting sqref="E502:E503 E505:E507 E508:G508 D511:H516">
    <cfRule type="expression" dxfId="187" priority="60">
      <formula>$E$498=0</formula>
    </cfRule>
  </conditionalFormatting>
  <conditionalFormatting sqref="E503">
    <cfRule type="expression" dxfId="186" priority="59">
      <formula>$E$502=AIS_No</formula>
    </cfRule>
  </conditionalFormatting>
  <conditionalFormatting sqref="E523 E526:E527 E544:E546 E547:G547 D550:H555 E530:E542">
    <cfRule type="expression" dxfId="185" priority="58">
      <formula>$E$519=0</formula>
    </cfRule>
  </conditionalFormatting>
  <conditionalFormatting sqref="E526:E527 E530:E542">
    <cfRule type="expression" dxfId="184" priority="56">
      <formula>OR($E$523=AIS_No,$E$523=AIS_PS)</formula>
    </cfRule>
  </conditionalFormatting>
  <conditionalFormatting sqref="E530:E542">
    <cfRule type="expression" dxfId="183" priority="55">
      <formula>$G$526=0</formula>
    </cfRule>
  </conditionalFormatting>
  <conditionalFormatting sqref="F562:F567">
    <cfRule type="expression" dxfId="182" priority="54">
      <formula>OR(E562=AIS_No,E562=AIS_PS)</formula>
    </cfRule>
  </conditionalFormatting>
  <conditionalFormatting sqref="G566">
    <cfRule type="expression" dxfId="181" priority="12">
      <formula>AND($E$566=AIS_Yes,OR($F$566=AIS_No,$F$566=AIS_PS))</formula>
    </cfRule>
    <cfRule type="expression" dxfId="180" priority="53">
      <formula>OR($E$566=AIS_No,$E$566=AIS_PS)</formula>
    </cfRule>
  </conditionalFormatting>
  <conditionalFormatting sqref="E591 E593:E595 E596:G596 D599:H604">
    <cfRule type="expression" dxfId="179" priority="52">
      <formula>$E$587=0</formula>
    </cfRule>
  </conditionalFormatting>
  <conditionalFormatting sqref="E641">
    <cfRule type="expression" dxfId="178" priority="51">
      <formula>$G$640&lt;&gt;0</formula>
    </cfRule>
  </conditionalFormatting>
  <conditionalFormatting sqref="D680:H682">
    <cfRule type="expression" dxfId="177" priority="284">
      <formula>$L$695=$L$696</formula>
    </cfRule>
  </conditionalFormatting>
  <conditionalFormatting sqref="D684:H686">
    <cfRule type="expression" dxfId="176" priority="285">
      <formula>$L$695&lt;&gt;$L$696</formula>
    </cfRule>
  </conditionalFormatting>
  <conditionalFormatting sqref="E709 E711:E713 E714:G714 D717:H722">
    <cfRule type="expression" dxfId="175" priority="48">
      <formula>$E$702=0</formula>
    </cfRule>
  </conditionalFormatting>
  <conditionalFormatting sqref="E729 E731:E733 E734:G734 D737:H742">
    <cfRule type="expression" dxfId="174" priority="46">
      <formula>$E$725=0</formula>
    </cfRule>
  </conditionalFormatting>
  <conditionalFormatting sqref="E705:E706">
    <cfRule type="expression" dxfId="173" priority="45">
      <formula>$E$702=0</formula>
    </cfRule>
  </conditionalFormatting>
  <conditionalFormatting sqref="E749 E751:E753 E754:G754 D757:H762">
    <cfRule type="expression" dxfId="172" priority="44">
      <formula>$E$745=0</formula>
    </cfRule>
  </conditionalFormatting>
  <conditionalFormatting sqref="D773:F776">
    <cfRule type="expression" dxfId="171" priority="43">
      <formula>$E$771=$L$769</formula>
    </cfRule>
  </conditionalFormatting>
  <conditionalFormatting sqref="D778:F781">
    <cfRule type="expression" dxfId="170" priority="42">
      <formula>$E$771=$L$768</formula>
    </cfRule>
  </conditionalFormatting>
  <conditionalFormatting sqref="E828:E829 E831:E833 E834:G834 D837:H842">
    <cfRule type="expression" dxfId="169" priority="41">
      <formula>$E$824=0</formula>
    </cfRule>
  </conditionalFormatting>
  <conditionalFormatting sqref="E849 E851:E853 E854:G854 D857:H862">
    <cfRule type="expression" dxfId="168" priority="40">
      <formula>$E$845=0</formula>
    </cfRule>
  </conditionalFormatting>
  <conditionalFormatting sqref="E877">
    <cfRule type="expression" dxfId="167" priority="39">
      <formula>$G$874=0</formula>
    </cfRule>
  </conditionalFormatting>
  <conditionalFormatting sqref="F877">
    <cfRule type="expression" dxfId="166" priority="38">
      <formula>$G$874=0</formula>
    </cfRule>
  </conditionalFormatting>
  <conditionalFormatting sqref="F917:G917">
    <cfRule type="expression" dxfId="165" priority="37">
      <formula>OR($E$917=AIS_No,$E$917=AIS_PS)</formula>
    </cfRule>
  </conditionalFormatting>
  <conditionalFormatting sqref="F924:G924">
    <cfRule type="expression" dxfId="164" priority="36">
      <formula>OR($E$924=AIS_No,$E$924=AIS_PS)</formula>
    </cfRule>
  </conditionalFormatting>
  <conditionalFormatting sqref="F918:G923">
    <cfRule type="expression" dxfId="163" priority="35">
      <formula>OR($E918=AIS_No,$E918=AIS_PS)</formula>
    </cfRule>
  </conditionalFormatting>
  <conditionalFormatting sqref="G917:G924">
    <cfRule type="expression" dxfId="162" priority="34">
      <formula>H917=AIS_statement110</formula>
    </cfRule>
  </conditionalFormatting>
  <conditionalFormatting sqref="G975">
    <cfRule type="expression" dxfId="161" priority="33">
      <formula>$L$975&lt;&gt;"feil"</formula>
    </cfRule>
  </conditionalFormatting>
  <conditionalFormatting sqref="G979">
    <cfRule type="expression" dxfId="160" priority="32">
      <formula>$L$979&lt;&gt;"feil"</formula>
    </cfRule>
  </conditionalFormatting>
  <conditionalFormatting sqref="D1024:G1026">
    <cfRule type="expression" dxfId="159" priority="30">
      <formula>$L$1026=1</formula>
    </cfRule>
  </conditionalFormatting>
  <conditionalFormatting sqref="D1018:H1022">
    <cfRule type="expression" dxfId="158" priority="29">
      <formula>$L$1026=2</formula>
    </cfRule>
  </conditionalFormatting>
  <conditionalFormatting sqref="E1048:E1050 E1051:G1051 D1054:H1059">
    <cfRule type="expression" dxfId="157" priority="28">
      <formula>$E$1042=0</formula>
    </cfRule>
  </conditionalFormatting>
  <conditionalFormatting sqref="E1114">
    <cfRule type="expression" dxfId="156" priority="27">
      <formula>$E$1113=AIS_No</formula>
    </cfRule>
  </conditionalFormatting>
  <conditionalFormatting sqref="E1136:E1141">
    <cfRule type="expression" dxfId="155" priority="25">
      <formula>OR($E$1135=AIS_No,$E$1135=AIS_PS)</formula>
    </cfRule>
    <cfRule type="expression" dxfId="154" priority="26">
      <formula>OR($E$1134=AIS_No,$E$1134=AIS_PS)</formula>
    </cfRule>
  </conditionalFormatting>
  <conditionalFormatting sqref="E1161 E1164 E1167:E1169 E1170:G1170 D1173:H1178">
    <cfRule type="expression" dxfId="153" priority="24">
      <formula>$E$1157=0</formula>
    </cfRule>
  </conditionalFormatting>
  <conditionalFormatting sqref="E1220:E1227 E1229:E1231 E1232:G1232 D1235:H1240">
    <cfRule type="expression" dxfId="152" priority="22">
      <formula>$E$1216=0</formula>
    </cfRule>
  </conditionalFormatting>
  <conditionalFormatting sqref="F1220:F1227">
    <cfRule type="expression" dxfId="151" priority="21">
      <formula>$E$1216=0</formula>
    </cfRule>
  </conditionalFormatting>
  <conditionalFormatting sqref="E1292">
    <cfRule type="expression" dxfId="150" priority="20">
      <formula>$E$1291=AIS_No</formula>
    </cfRule>
  </conditionalFormatting>
  <conditionalFormatting sqref="E1291:E1292 E1294:E1296 E1297:G1297 D1300:H1305">
    <cfRule type="expression" dxfId="149" priority="19">
      <formula>$E$1287=0</formula>
    </cfRule>
  </conditionalFormatting>
  <conditionalFormatting sqref="E1221:E1227">
    <cfRule type="expression" dxfId="148" priority="287">
      <formula>$E$1220=$L$1225</formula>
    </cfRule>
  </conditionalFormatting>
  <conditionalFormatting sqref="E1187 E1189 E1191:E1192 E1194 E1196 E1199:E1200 E1202:E1204 E1205:G1205 D1208:H1213">
    <cfRule type="expression" dxfId="147" priority="18">
      <formula>$E$1183=0</formula>
    </cfRule>
  </conditionalFormatting>
  <conditionalFormatting sqref="E1191:E1192 E1194 E1196">
    <cfRule type="expression" dxfId="146" priority="17">
      <formula>$E$1189=AIS_PS</formula>
    </cfRule>
  </conditionalFormatting>
  <conditionalFormatting sqref="E1191:E1192 E1194 E1196">
    <cfRule type="expression" dxfId="145" priority="16">
      <formula>$E$1189=AIS_No</formula>
    </cfRule>
  </conditionalFormatting>
  <conditionalFormatting sqref="E1194">
    <cfRule type="expression" dxfId="144" priority="15">
      <formula>$G$1191&lt;&gt;0</formula>
    </cfRule>
  </conditionalFormatting>
  <conditionalFormatting sqref="E391:E392">
    <cfRule type="expression" dxfId="143" priority="14">
      <formula>OR($E$387=AIS_No,$E$387=AIS_PS)</formula>
    </cfRule>
  </conditionalFormatting>
  <conditionalFormatting sqref="D773:F781">
    <cfRule type="expression" dxfId="142" priority="11">
      <formula>$E$771=AIS_PS</formula>
    </cfRule>
  </conditionalFormatting>
  <conditionalFormatting sqref="E1188">
    <cfRule type="expression" dxfId="141" priority="10">
      <formula>$E$1183=0</formula>
    </cfRule>
  </conditionalFormatting>
  <conditionalFormatting sqref="E1191:E1192 E1194 E1196">
    <cfRule type="expression" dxfId="140" priority="9">
      <formula>$E$1188=AIS_No</formula>
    </cfRule>
  </conditionalFormatting>
  <conditionalFormatting sqref="E526:E527 E530:E542 E544:E546 E547:G547">
    <cfRule type="expression" dxfId="139" priority="8">
      <formula>$F$523&lt;&gt;""</formula>
    </cfRule>
  </conditionalFormatting>
  <conditionalFormatting sqref="E874:E877 E880:E882 E885:E888 E891:E894 E896:E898 E899:G899">
    <cfRule type="expression" dxfId="138" priority="7">
      <formula>$F$871&lt;&gt;""</formula>
    </cfRule>
  </conditionalFormatting>
  <conditionalFormatting sqref="E917:E925 E927:E929 E930:G930">
    <cfRule type="expression" dxfId="137" priority="6">
      <formula>$I$914&lt;&gt;""</formula>
    </cfRule>
  </conditionalFormatting>
  <conditionalFormatting sqref="E1136:E1141 E1143:E1145 E1146:G1146">
    <cfRule type="expression" dxfId="136" priority="5">
      <formula>$I$1134&lt;&gt;""</formula>
    </cfRule>
  </conditionalFormatting>
  <conditionalFormatting sqref="E299">
    <cfRule type="expression" dxfId="135" priority="4">
      <formula>$F$299=0</formula>
    </cfRule>
  </conditionalFormatting>
  <conditionalFormatting sqref="H16:H1300">
    <cfRule type="expression" dxfId="134" priority="3">
      <formula>$U16=AIS_Yes</formula>
    </cfRule>
  </conditionalFormatting>
  <conditionalFormatting sqref="G200">
    <cfRule type="expression" dxfId="133" priority="2">
      <formula>$F$176=4</formula>
    </cfRule>
  </conditionalFormatting>
  <conditionalFormatting sqref="G200">
    <cfRule type="expression" dxfId="132" priority="1">
      <formula>$F$176=4</formula>
    </cfRule>
  </conditionalFormatting>
  <dataValidations xWindow="268" yWindow="455" count="60">
    <dataValidation errorStyle="warning" showErrorMessage="1" errorTitle="BREEAM 2011" error="Please review, your data entry is invalid." sqref="I461:J474 I476:J481 I483:J496 I498:J502 I641:J654 D381:H381 D389:H389 D406:H406 J504:J639 I504:I567 I569:I639 D556:H556 D571:H571 I367:J459" xr:uid="{00000000-0002-0000-0300-000000000000}"/>
    <dataValidation allowBlank="1" showInputMessage="1" showErrorMessage="1" promptTitle="Assessor comments/notes" prompt="Such information is not necessarily required for quality assurance purposes, but the provision of additional information may be of relevance to any third party interpreting the assessment result and/or evidence referenced for verification purposes." sqref="L452:M452 D356:H356 D453:H453 D335:H335 O452:AA452 H568 K725:K742" xr:uid="{00000000-0002-0000-0300-000001000000}"/>
    <dataValidation allowBlank="1" showInputMessage="1" showErrorMessage="1" promptTitle="Sorting" prompt="Sort from smallest to largest to get original sorting" sqref="A10" xr:uid="{00000000-0002-0000-0300-000002000000}"/>
    <dataValidation allowBlank="1" showErrorMessage="1" promptTitle="Assessor comments/notes" prompt="Such information is not necessarily required for quality assurance purposes, but the provision of additional information may be of relevance to any third party interpreting the assessment result and/or evidence referenced for verification purposes." sqref="I1276:K1276" xr:uid="{00000000-0002-0000-0300-000003000000}"/>
    <dataValidation operator="lessThanOrEqual" allowBlank="1" showInputMessage="1" showErrorMessage="1" errorTitle="Invalid entry" error="Cannot award more credits than available" sqref="E89:E96 E99:E104 E107:E108 E210:E211 E235:E236 E774:E775 E48 E784:E785 E974:E975 E979 E1314:E1321 E1221 E1223:E1226 E1197 E705:E706 E391:E393 E893:E894 E1199 E1187:E1189 E523" xr:uid="{00000000-0002-0000-0300-000004000000}"/>
    <dataValidation type="list" operator="lessThanOrEqual" allowBlank="1" showInputMessage="1" showErrorMessage="1" errorTitle="Invalid entry" error="Cannot award more credits than available" sqref="E1247" xr:uid="{00000000-0002-0000-0300-000005000000}">
      <formula1>$L$1243:$L$1248</formula1>
    </dataValidation>
    <dataValidation type="list" operator="lessThanOrEqual" allowBlank="1" showInputMessage="1" showErrorMessage="1" errorTitle="Invalid entry" error="Cannot award more credits than available" sqref="E1092" xr:uid="{00000000-0002-0000-0300-000006000000}">
      <formula1>$L$1087:$L$1089</formula1>
    </dataValidation>
    <dataValidation allowBlank="1" showErrorMessage="1" promptTitle="Assessor comments/notes" sqref="D1054 D28 D717 D56 D116 D138 D161 D186 D219 D244 D1300 D265 D287 D309 D329 D350 D373 D400 D426 D447 D468 D490 D511 D550 D599 D624 D669 D694 D649 D737 D793 D816 D757 D837 D857 D902 D933 D987 D953 D1007 D1034 D1079 D1101 D1149 D1173 D1122 D1208 D1235 D1259 D1279 D579 D1329" xr:uid="{00000000-0002-0000-0300-000007000000}"/>
    <dataValidation allowBlank="1" showErrorMessage="1" sqref="D1059 D33 D722 D61 D121 D143 D166 D191 D224 D249 D1305 D270 D292 D314 D334 D355 D378 D405 D431 D452 D473 D495 D516 D555 D604 D629 D674 D699 D654 D742 D798 D821 D762 D842 D862 D907 D938 D992 D958 D1012 D1039 D1084 D1106 D1154 D1178 D1127 D1213 D1240 D1264 D1284 D584 D1334" xr:uid="{00000000-0002-0000-0300-000008000000}"/>
    <dataValidation type="list" operator="lessThanOrEqual" allowBlank="1" showInputMessage="1" showErrorMessage="1" errorTitle="Invalid entry" error="Cannot award more credits than available" sqref="F975 F979" xr:uid="{00000000-0002-0000-0300-000009000000}">
      <formula1>$L$963:$L$964</formula1>
    </dataValidation>
    <dataValidation type="list" operator="lessThanOrEqual" allowBlank="1" showInputMessage="1" showErrorMessage="1" errorTitle="Invalid entry" error="Cannot award more credits than available" sqref="E681:E682" xr:uid="{00000000-0002-0000-0300-00000A000000}">
      <formula1>$L$677:$L$683</formula1>
    </dataValidation>
    <dataValidation type="list" operator="lessThanOrEqual" allowBlank="1" showInputMessage="1" showErrorMessage="1" errorTitle="Invalid entry" error="Cannot award more credits than available" sqref="E686" xr:uid="{00000000-0002-0000-0300-00000B000000}">
      <formula1>$L$677:$L$682</formula1>
    </dataValidation>
    <dataValidation type="list" operator="lessThanOrEqual" allowBlank="1" showInputMessage="1" showErrorMessage="1" errorTitle="Invalid entry" error="Cannot award more credits than available" sqref="E79" xr:uid="{00000000-0002-0000-0300-00000C000000}">
      <formula1>$L$64:$L$67</formula1>
    </dataValidation>
    <dataValidation type="list" allowBlank="1" showInputMessage="1" showErrorMessage="1" sqref="G566" xr:uid="{00000000-0002-0000-0300-00000D000000}">
      <formula1>$L$561:$L$563</formula1>
    </dataValidation>
    <dataValidation type="list" operator="lessThanOrEqual" allowBlank="1" showInputMessage="1" showErrorMessage="1" errorTitle="Invalid entry" error="Cannot award more credits than available" sqref="E1322" xr:uid="{00000000-0002-0000-0300-00000E000000}">
      <formula1>$L$1310:$L$1320</formula1>
    </dataValidation>
    <dataValidation type="list" operator="lessThanOrEqual" allowBlank="1" showInputMessage="1" showErrorMessage="1" errorTitle="Invalid entry" error="Cannot award more credits than available" sqref="E200" xr:uid="{00000000-0002-0000-0300-00000F000000}">
      <formula1>$L$194:$L$199</formula1>
    </dataValidation>
    <dataValidation type="list" operator="lessThanOrEqual" allowBlank="1" showInputMessage="1" showErrorMessage="1" errorTitle="Invalid entry" error="Cannot award more credits than available" sqref="E279" xr:uid="{00000000-0002-0000-0300-000010000000}">
      <formula1>$L$275:$L$278</formula1>
    </dataValidation>
    <dataValidation type="list" operator="lessThanOrEqual" allowBlank="1" showErrorMessage="1" errorTitle="Invalid entry" error="Cannot award more credits than available" sqref="E661" xr:uid="{00000000-0002-0000-0300-000011000000}">
      <formula1>$L$657:$L$660</formula1>
    </dataValidation>
    <dataValidation type="list" operator="lessThanOrEqual" allowBlank="1" showInputMessage="1" showErrorMessage="1" errorTitle="Invalid entry" error="Cannot award more credits than available" sqref="E685" xr:uid="{00000000-0002-0000-0300-000012000000}">
      <formula1>$L$686:$L$693</formula1>
    </dataValidation>
    <dataValidation allowBlank="1" showErrorMessage="1" error="You must enter a numerical value." prompt="The Accessibility Index required for this assessment issue is sourced from the separate BREEAM Tra 01 calculator." sqref="E640" xr:uid="{00000000-0002-0000-0300-000013000000}"/>
    <dataValidation type="list" allowBlank="1" showInputMessage="1" showErrorMessage="1" sqref="E637" xr:uid="{00000000-0002-0000-0300-000014000000}">
      <formula1>$L$634:$L$641</formula1>
    </dataValidation>
    <dataValidation type="list" showErrorMessage="1" error="Invalid data entry, please retry." prompt="Please refer to the calculation procedures in the Additional Information section of the Wat01 assessment issue (in the BREEAM 2011 New Construction Scheme Document) for further detail about the Wat01 calculation options." sqref="E771" xr:uid="{00000000-0002-0000-0300-000015000000}">
      <formula1>$L$767:$L$769</formula1>
    </dataValidation>
    <dataValidation type="list" allowBlank="1" showInputMessage="1" showErrorMessage="1" sqref="E780" xr:uid="{00000000-0002-0000-0300-000016000000}">
      <formula1>$L$780:$L$783</formula1>
    </dataValidation>
    <dataValidation type="list" allowBlank="1" showInputMessage="1" showErrorMessage="1" sqref="G917:G924" xr:uid="{00000000-0002-0000-0300-000017000000}">
      <formula1>$L$913:$L$916</formula1>
    </dataValidation>
    <dataValidation type="list" operator="lessThanOrEqual" allowBlank="1" showInputMessage="1" showErrorMessage="1" errorTitle="Invalid entry" error="Cannot award more credits than available" sqref="E1220" xr:uid="{00000000-0002-0000-0300-000018000000}">
      <formula1>$L$1231:$L$1233</formula1>
    </dataValidation>
    <dataValidation type="list" operator="lessThanOrEqual" allowBlank="1" showInputMessage="1" showErrorMessage="1" errorTitle="Invalid entry" error="Cannot award more credits than available" sqref="E176" xr:uid="{00000000-0002-0000-0300-000019000000}">
      <formula1>$L$171:$L$176</formula1>
    </dataValidation>
    <dataValidation type="list" operator="lessThanOrEqual" allowBlank="1" showInputMessage="1" showErrorMessage="1" errorTitle="Invalid entry" error="Cannot award more credits than available" sqref="E1227" xr:uid="{00000000-0002-0000-0300-00001A000000}">
      <formula1>$L$1225:$L$1228</formula1>
    </dataValidation>
    <dataValidation type="list" operator="lessThanOrEqual" allowBlank="1" showInputMessage="1" showErrorMessage="1" errorTitle="Invalid entry" error="Cannot award more credits than available" sqref="E779" xr:uid="{00000000-0002-0000-0300-00001B000000}">
      <formula1>$L$773:$L$779</formula1>
    </dataValidation>
    <dataValidation type="list" operator="lessThanOrEqual" allowBlank="1" showInputMessage="1" showErrorMessage="1" errorTitle="Invalid entry" error="Cannot award more credits than available" sqref="E978" xr:uid="{00000000-0002-0000-0300-00001C000000}">
      <formula1>$L$965:$L$969</formula1>
    </dataValidation>
    <dataValidation type="list" operator="lessThanOrEqual" allowBlank="1" showInputMessage="1" showErrorMessage="1" errorTitle="Invalid entry" error="Cannot award more credits than available" sqref="E1161" xr:uid="{00000000-0002-0000-0300-00001D000000}">
      <formula1>$L$1157:$L$1159</formula1>
    </dataValidation>
    <dataValidation type="list" operator="lessThanOrEqual" allowBlank="1" showInputMessage="1" showErrorMessage="1" errorTitle="Invalid entry" error="Cannot award more credits than available" sqref="E1164" xr:uid="{00000000-0002-0000-0300-00001E000000}">
      <formula1>$L$1165:$L$1167</formula1>
    </dataValidation>
    <dataValidation type="list" allowBlank="1" showInputMessage="1" showErrorMessage="1" sqref="W67" xr:uid="{C3BB905A-38C4-4757-A47B-DD24BDCC2BAC}">
      <formula1>$V$71:$X$71</formula1>
    </dataValidation>
    <dataValidation type="list" allowBlank="1" showInputMessage="1" showErrorMessage="1" sqref="H945" xr:uid="{81E826E8-91D6-4783-A394-1CABCC068DCD}">
      <formula1>$AA$945:$AC$945</formula1>
    </dataValidation>
    <dataValidation type="list" allowBlank="1" showInputMessage="1" showErrorMessage="1" sqref="H1191" xr:uid="{C1602C52-6CAA-4B3E-B793-4EE1DD7B5A1D}">
      <formula1>$AA$1191:$AC$1191</formula1>
    </dataValidation>
    <dataValidation type="list" allowBlank="1" showInputMessage="1" showErrorMessage="1" sqref="H1194 H1220" xr:uid="{9D514554-E85E-4A8F-BB84-73E7A1591DBE}">
      <formula1>$AA$1194:$AC$1194</formula1>
    </dataValidation>
    <dataValidation type="list" allowBlank="1" showInputMessage="1" showErrorMessage="1" sqref="H1271" xr:uid="{3831A6BB-C205-42D1-8FF3-7A92519816CF}">
      <formula1>$AA$1271:$AC$1271</formula1>
    </dataValidation>
    <dataValidation type="list" allowBlank="1" showInputMessage="1" showErrorMessage="1" sqref="H1292" xr:uid="{237A3363-878E-4296-9782-BA2BF6344597}">
      <formula1>$AA$1292:$AC$1292</formula1>
    </dataValidation>
    <dataValidation type="list" allowBlank="1" showInputMessage="1" showErrorMessage="1" sqref="H387" xr:uid="{A3048D76-F243-454F-A2BE-3EF96060770C}">
      <formula1>$AA$387:$AC$387</formula1>
    </dataValidation>
    <dataValidation type="list" allowBlank="1" showInputMessage="1" showErrorMessage="1" sqref="H412" xr:uid="{7AB896FC-2E59-4277-A62F-27BE7CECB886}">
      <formula1>$AA$412:$AC$412</formula1>
    </dataValidation>
    <dataValidation type="list" allowBlank="1" showInputMessage="1" showErrorMessage="1" sqref="H413" xr:uid="{A4E05D07-1BEE-4543-A70B-866CEB3AA573}">
      <formula1>$AA$413:$AC$413</formula1>
    </dataValidation>
    <dataValidation type="list" allowBlank="1" showInputMessage="1" showErrorMessage="1" sqref="H438" xr:uid="{3BA7919B-87F9-4F8A-B688-B7EF53DD9058}">
      <formula1>$Z$438:$AC$438</formula1>
    </dataValidation>
    <dataValidation type="list" allowBlank="1" showInputMessage="1" showErrorMessage="1" sqref="H459" xr:uid="{ADD911E3-02D6-49C9-9610-E295059E3FE8}">
      <formula1>$Z$459:$AC$459</formula1>
    </dataValidation>
    <dataValidation type="list" allowBlank="1" showInputMessage="1" showErrorMessage="1" sqref="H480" xr:uid="{C501B972-9278-4AA6-84C5-E4B0A1CAD660}">
      <formula1>$Z$480:$AC$480</formula1>
    </dataValidation>
    <dataValidation type="list" allowBlank="1" showInputMessage="1" showErrorMessage="1" sqref="H481" xr:uid="{9BBDDBAE-EEAB-4483-8EB9-2B33FF75B4A1}">
      <formula1>$Z$481:$AC$481</formula1>
    </dataValidation>
    <dataValidation type="list" allowBlank="1" showInputMessage="1" showErrorMessage="1" sqref="H482" xr:uid="{532D00B0-76C6-4809-9732-1A8DE2D90D56}">
      <formula1>$Z$482:$AC$482</formula1>
    </dataValidation>
    <dataValidation type="list" allowBlank="1" showInputMessage="1" showErrorMessage="1" sqref="H502" xr:uid="{F7BBDCCE-ED40-4F5F-88F6-3C9004DEF61C}">
      <formula1>$AA$502:$AC$502</formula1>
    </dataValidation>
    <dataValidation type="list" allowBlank="1" showInputMessage="1" showErrorMessage="1" sqref="H503" xr:uid="{08B35EF7-5241-4489-8AAC-D96D7E75D6C8}">
      <formula1>$AA$503:$AC$503</formula1>
    </dataValidation>
    <dataValidation type="list" allowBlank="1" showInputMessage="1" showErrorMessage="1" sqref="H570 H611" xr:uid="{D378BC21-6D09-4041-9787-FECEE170956F}">
      <formula1>$AA$570:$AC$570</formula1>
    </dataValidation>
    <dataValidation type="list" allowBlank="1" showInputMessage="1" showErrorMessage="1" sqref="H591" xr:uid="{99909F65-18B7-4D58-A591-F90B7C848B0F}">
      <formula1>$AA$591:$AC$591</formula1>
    </dataValidation>
    <dataValidation type="list" allowBlank="1" showInputMessage="1" showErrorMessage="1" sqref="H771" xr:uid="{37EE2175-E1A6-4E25-B336-992C93F12EC7}">
      <formula1>$Z$771:$AC$771</formula1>
    </dataValidation>
    <dataValidation type="list" allowBlank="1" showInputMessage="1" showErrorMessage="1" sqref="H805" xr:uid="{021A3BD5-0C56-45AF-904F-BADA41E6027D}">
      <formula1>$Z$805:$AC$805</formula1>
    </dataValidation>
    <dataValidation type="list" allowBlank="1" showInputMessage="1" showErrorMessage="1" sqref="H829" xr:uid="{E727EB52-3B0F-43B6-84B6-0A1B4242E6FD}">
      <formula1>$Z$829:$AC$829</formula1>
    </dataValidation>
    <dataValidation type="list" allowBlank="1" showInputMessage="1" showErrorMessage="1" sqref="H177" xr:uid="{6216DE92-1DBC-4692-ACD7-17A881988601}">
      <formula1>$AA$177:$AC$177</formula1>
    </dataValidation>
    <dataValidation type="list" allowBlank="1" showInputMessage="1" showErrorMessage="1" sqref="H178" xr:uid="{B5EF2698-BBE1-4EA1-A17C-47E7CB25FA12}">
      <formula1>$AA$178:$AC$178</formula1>
    </dataValidation>
    <dataValidation type="list" allowBlank="1" showInputMessage="1" showErrorMessage="1" sqref="H199" xr:uid="{8333DC6E-F70E-42B0-9484-5F9945D46F5B}">
      <formula1>$Z$199:$AC$199</formula1>
    </dataValidation>
    <dataValidation type="list" allowBlank="1" showInputMessage="1" showErrorMessage="1" sqref="H231" xr:uid="{D166E100-AF4B-40A9-B5A8-195C0A5A69E1}">
      <formula1>$AA$231:$AC$231</formula1>
    </dataValidation>
    <dataValidation type="list" allowBlank="1" showInputMessage="1" showErrorMessage="1" sqref="H232" xr:uid="{5421B9B4-DF73-4F52-BF1A-1EC4973BA70B}">
      <formula1>$AA$232:$AC$232</formula1>
    </dataValidation>
    <dataValidation type="list" allowBlank="1" showInputMessage="1" showErrorMessage="1" sqref="H256" xr:uid="{3674F4F1-5841-4E2E-AC52-4E4B27FC9691}">
      <formula1>$AA$256:$AC$256</formula1>
    </dataValidation>
    <dataValidation type="list" allowBlank="1" showInputMessage="1" showErrorMessage="1" sqref="H414" xr:uid="{09956D89-4650-4A0D-9596-FCD5294B0143}">
      <formula1>$AA$414:$AC$414</formula1>
    </dataValidation>
    <dataValidation type="list" allowBlank="1" showInputMessage="1" showErrorMessage="1" sqref="H200" xr:uid="{97539B99-61D7-4113-9A8D-694569248CBB}">
      <formula1>$AA$200:$AC$200</formula1>
    </dataValidation>
  </dataValidations>
  <pageMargins left="0.7" right="0.7" top="0.75" bottom="0.75" header="0.3" footer="0.3"/>
  <pageSetup paperSize="9" scale="59" fitToHeight="0" orientation="landscape" r:id="rId1"/>
  <ignoredErrors>
    <ignoredError sqref="E1314:E1321" unlockedFormula="1"/>
    <ignoredError sqref="M584" formula="1"/>
  </ignoredErrors>
  <drawing r:id="rId2"/>
  <extLst>
    <ext xmlns:x14="http://schemas.microsoft.com/office/spreadsheetml/2009/9/main" uri="{CCE6A557-97BC-4b89-ADB6-D9C93CAAB3DF}">
      <x14:dataValidations xmlns:xm="http://schemas.microsoft.com/office/excel/2006/main" xWindow="268" yWindow="455" count="11">
        <x14:dataValidation type="list" allowBlank="1" showInputMessage="1" showErrorMessage="1" xr:uid="{00000000-0002-0000-0300-00001F000000}">
          <x14:formula1>
            <xm:f>Options!$O$4:$O$8</xm:f>
          </x14:formula1>
          <xm:sqref>H205 H234:H236</xm:sqref>
        </x14:dataValidation>
        <x14:dataValidation type="list" operator="lessThanOrEqual" allowBlank="1" showInputMessage="1" showErrorMessage="1" errorTitle="Invalid entry" error="Cannot award more credits than available" xr:uid="{00000000-0002-0000-0300-000020000000}">
          <x14:formula1>
            <xm:f>Options!$Q$3:$Q$104</xm:f>
          </x14:formula1>
          <xm:sqref>E388 E1114 E1068 E999 E888 E892</xm:sqref>
        </x14:dataValidation>
        <x14:dataValidation type="list" allowBlank="1" showInputMessage="1" showErrorMessage="1" xr:uid="{00000000-0002-0000-0300-000021000000}">
          <x14:formula1>
            <xm:f>Options!$Q$3:$Q$104</xm:f>
          </x14:formula1>
          <xm:sqref>F917:F924</xm:sqref>
        </x14:dataValidation>
        <x14:dataValidation type="list" operator="lessThanOrEqual" allowBlank="1" showInputMessage="1" showErrorMessage="1" errorTitle="Invalid entry" error="Cannot award more credits than available" xr:uid="{00000000-0002-0000-0300-000022000000}">
          <x14:formula1>
            <xm:f>Options!$B$4:$B$5</xm:f>
          </x14:formula1>
          <xm:sqref>E528</xm:sqref>
        </x14:dataValidation>
        <x14:dataValidation type="list" operator="lessThanOrEqual" allowBlank="1" showInputMessage="1" showErrorMessage="1" errorTitle="Invalid entry" error="Cannot award more credits than available" xr:uid="{00000000-0002-0000-0300-000023000000}">
          <x14:formula1>
            <xm:f>Options!$B$3:$B$6</xm:f>
          </x14:formula1>
          <xm:sqref>E257 E414 E532:E542 E616 E973 E1021:E1022 E1135:E1141 E808 E806</xm:sqref>
        </x14:dataValidation>
        <x14:dataValidation type="list" operator="lessThanOrEqual" allowBlank="1" showInputMessage="1" showErrorMessage="1" errorTitle="Invalid entry" error="Cannot award more credits than available" xr:uid="{00000000-0002-0000-0300-000025000000}">
          <x14:formula1>
            <xm:f>Options!$E$64:$E$67</xm:f>
          </x14:formula1>
          <xm:sqref>E709</xm:sqref>
        </x14:dataValidation>
        <x14:dataValidation type="list" operator="lessThanOrEqual" allowBlank="1" showInputMessage="1" showErrorMessage="1" errorTitle="Invalid entry" error="Cannot award more credits than available" xr:uid="{00000000-0002-0000-0300-000026000000}">
          <x14:formula1>
            <xm:f>Options!$S$3:$S$106</xm:f>
          </x14:formula1>
          <xm:sqref>E776</xm:sqref>
        </x14:dataValidation>
        <x14:dataValidation type="list" allowBlank="1" showInputMessage="1" showErrorMessage="1" xr:uid="{00000000-0002-0000-0300-000027000000}">
          <x14:formula1>
            <xm:f>Options!$B$3:$B$6</xm:f>
          </x14:formula1>
          <xm:sqref>E781</xm:sqref>
        </x14:dataValidation>
        <x14:dataValidation type="list" operator="lessThanOrEqual" allowBlank="1" showInputMessage="1" showErrorMessage="1" errorTitle="Invalid entry" error="Cannot award more credits than available" xr:uid="{00000000-0002-0000-0300-000028000000}">
          <x14:formula1>
            <xm:f>Options!$R$3:$R$34</xm:f>
          </x14:formula1>
          <xm:sqref>E876 E880</xm:sqref>
        </x14:dataValidation>
        <x14:dataValidation type="list" allowBlank="1" showInputMessage="1" showErrorMessage="1" xr:uid="{00000000-0002-0000-0300-000029000000}">
          <x14:formula1>
            <xm:f>Options!$R$3:$R$34</xm:f>
          </x14:formula1>
          <xm:sqref>E877</xm:sqref>
        </x14:dataValidation>
        <x14:dataValidation type="list" operator="lessThanOrEqual" allowBlank="1" showInputMessage="1" showErrorMessage="1" errorTitle="Invalid entry" error="Cannot award more credits than available" xr:uid="{00000000-0002-0000-0300-00002A000000}">
          <x14:formula1>
            <xm:f>Options!$B$3:$B$5</xm:f>
          </x14:formula1>
          <xm:sqref>E17:E20 E40:E41 E44:E45 E68 E71:E73 E76 E80 E128:E130 E150:E153 E175 E177:E178 E256 E276 E299:E301 E1291:E1292 E1191:E1192 E1194 E1196 E83:E86 E198:E199 E201:E204 E206:E207 E231:E232 E321 E341:E342 E362:E365 E387 E417:E418 E412:E413 E438:E439 E459:E460 E480:E482 E502:E503 E1271 E526:E527 E530:E531 E562:F567 E570 E591 E611:E615 E641 E729 E749 E1248:E1251 E828:E829 E849 E871 E874:E875 E881:E882 E885:E887 E891 E914 E917:E924 E945 E967:E972 E1019:E1020 E1025:E1026 E1046 E1071 E1091 E1093 E1113 E1134 E805 E807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125"/>
  <sheetViews>
    <sheetView zoomScale="85" zoomScaleNormal="85" workbookViewId="0">
      <pane xSplit="3" topLeftCell="D1" activePane="topRight" state="frozen"/>
      <selection pane="topRight" activeCell="AX32" sqref="AX32"/>
    </sheetView>
  </sheetViews>
  <sheetFormatPr defaultColWidth="9.140625" defaultRowHeight="15" x14ac:dyDescent="0.25"/>
  <cols>
    <col min="1" max="1" width="4.140625" style="177" customWidth="1"/>
    <col min="2" max="2" width="4.42578125" style="177" customWidth="1"/>
    <col min="3" max="3" width="7.42578125" style="177" bestFit="1" customWidth="1"/>
    <col min="4" max="4" width="60.42578125" style="177" bestFit="1" customWidth="1"/>
    <col min="5" max="9" width="11.42578125" style="177" customWidth="1"/>
    <col min="10" max="10" width="5.5703125" style="177" customWidth="1"/>
    <col min="11" max="11" width="15.5703125" style="177" customWidth="1"/>
    <col min="12" max="12" width="7" style="177" customWidth="1"/>
    <col min="13" max="13" width="5.5703125" style="177" customWidth="1"/>
    <col min="14" max="14" width="6.5703125" style="177" customWidth="1"/>
    <col min="15" max="15" width="6.85546875" style="177" customWidth="1"/>
    <col min="16" max="17" width="5.5703125" style="177" customWidth="1"/>
    <col min="18" max="18" width="14" style="177" customWidth="1"/>
    <col min="19" max="19" width="6.85546875" style="177" customWidth="1"/>
    <col min="20" max="20" width="14.5703125" style="177" customWidth="1"/>
    <col min="21" max="21" width="17.5703125" style="177" customWidth="1"/>
    <col min="22" max="22" width="8.42578125" style="177" customWidth="1"/>
    <col min="23" max="23" width="14.42578125" style="177" customWidth="1"/>
    <col min="24" max="24" width="14.140625" style="177" customWidth="1"/>
    <col min="25" max="25" width="9.5703125" style="177" customWidth="1"/>
    <col min="26" max="26" width="9.42578125" style="177" customWidth="1"/>
    <col min="27" max="31" width="4.42578125" style="177" bestFit="1" customWidth="1"/>
    <col min="32" max="32" width="3.5703125" style="177" customWidth="1"/>
    <col min="33" max="37" width="4.42578125" style="177" bestFit="1" customWidth="1"/>
    <col min="38" max="38" width="3.140625" style="177" customWidth="1"/>
    <col min="39" max="42" width="4" style="177" bestFit="1" customWidth="1"/>
    <col min="43" max="43" width="4.42578125" style="177" bestFit="1" customWidth="1"/>
    <col min="44" max="44" width="10.85546875" style="177" bestFit="1" customWidth="1"/>
    <col min="45" max="45" width="26.5703125" style="177" bestFit="1" customWidth="1"/>
    <col min="46" max="46" width="5.85546875" style="177" bestFit="1" customWidth="1"/>
    <col min="47" max="47" width="6.5703125" style="177" bestFit="1" customWidth="1"/>
    <col min="48" max="48" width="26.5703125" style="177" bestFit="1" customWidth="1"/>
    <col min="49" max="49" width="6.5703125" style="177" customWidth="1"/>
    <col min="50" max="50" width="6.5703125" style="177" bestFit="1" customWidth="1"/>
    <col min="51" max="51" width="26.5703125" style="177" bestFit="1" customWidth="1"/>
    <col min="52" max="52" width="5.5703125" style="177" customWidth="1"/>
    <col min="53" max="54" width="9.140625" style="177"/>
    <col min="55" max="55" width="12.5703125" style="177" bestFit="1" customWidth="1"/>
    <col min="56" max="56" width="9.140625" style="177"/>
    <col min="57" max="57" width="12.5703125" style="177" bestFit="1" customWidth="1"/>
    <col min="58" max="58" width="7.5703125" style="177" bestFit="1" customWidth="1"/>
    <col min="59" max="59" width="12.5703125" style="177" bestFit="1" customWidth="1"/>
    <col min="60" max="16384" width="9.140625" style="177"/>
  </cols>
  <sheetData>
    <row r="1" spans="1:55" x14ac:dyDescent="0.25">
      <c r="C1" s="177">
        <v>1</v>
      </c>
      <c r="D1" s="177">
        <v>2</v>
      </c>
      <c r="E1" s="177">
        <v>3</v>
      </c>
      <c r="F1" s="177">
        <v>4</v>
      </c>
      <c r="G1" s="177">
        <v>5</v>
      </c>
      <c r="H1" s="177">
        <v>6</v>
      </c>
      <c r="I1" s="177">
        <v>7</v>
      </c>
      <c r="J1" s="177">
        <v>8</v>
      </c>
      <c r="K1" s="177">
        <v>9</v>
      </c>
      <c r="L1" s="177">
        <v>10</v>
      </c>
      <c r="M1" s="177">
        <v>11</v>
      </c>
      <c r="N1" s="177">
        <v>12</v>
      </c>
      <c r="O1" s="177">
        <v>13</v>
      </c>
      <c r="P1" s="177">
        <v>14</v>
      </c>
      <c r="Q1" s="177">
        <v>15</v>
      </c>
      <c r="R1" s="177">
        <v>16</v>
      </c>
      <c r="S1" s="177">
        <v>17</v>
      </c>
      <c r="T1" s="177">
        <v>18</v>
      </c>
      <c r="U1" s="177">
        <v>19</v>
      </c>
      <c r="V1" s="177">
        <v>20</v>
      </c>
      <c r="W1" s="177">
        <v>21</v>
      </c>
      <c r="X1" s="177">
        <v>22</v>
      </c>
      <c r="Y1" s="177">
        <v>23</v>
      </c>
      <c r="Z1" s="177">
        <v>24</v>
      </c>
      <c r="AA1" s="177">
        <v>25</v>
      </c>
      <c r="AB1" s="177">
        <v>26</v>
      </c>
      <c r="AC1" s="177">
        <v>27</v>
      </c>
      <c r="AD1" s="177">
        <v>28</v>
      </c>
      <c r="AE1" s="177">
        <v>29</v>
      </c>
      <c r="AF1" s="177">
        <v>30</v>
      </c>
      <c r="AG1" s="177">
        <v>31</v>
      </c>
      <c r="AH1" s="177">
        <v>32</v>
      </c>
      <c r="AI1" s="177">
        <v>33</v>
      </c>
      <c r="AJ1" s="177">
        <v>34</v>
      </c>
      <c r="AK1" s="177">
        <v>35</v>
      </c>
      <c r="AL1" s="177">
        <v>36</v>
      </c>
      <c r="AM1" s="177">
        <v>37</v>
      </c>
      <c r="AN1" s="177">
        <v>38</v>
      </c>
      <c r="AO1" s="177">
        <v>39</v>
      </c>
      <c r="AP1" s="177">
        <v>40</v>
      </c>
      <c r="AQ1" s="177">
        <v>41</v>
      </c>
      <c r="AR1" s="177">
        <v>42</v>
      </c>
      <c r="AS1" s="177">
        <v>43</v>
      </c>
      <c r="AT1" s="177">
        <v>44</v>
      </c>
      <c r="AU1" s="177">
        <v>45</v>
      </c>
      <c r="AV1" s="177">
        <v>46</v>
      </c>
      <c r="AW1" s="177">
        <v>47</v>
      </c>
      <c r="AX1" s="177">
        <v>48</v>
      </c>
      <c r="AY1" s="177">
        <v>49</v>
      </c>
      <c r="AZ1" s="177">
        <v>50</v>
      </c>
    </row>
    <row r="2" spans="1:55" x14ac:dyDescent="0.25">
      <c r="A2" s="265" t="s">
        <v>92</v>
      </c>
      <c r="B2" s="265"/>
      <c r="C2" s="265"/>
      <c r="D2" s="265"/>
      <c r="E2" s="265"/>
      <c r="F2" s="265"/>
      <c r="G2" s="265"/>
      <c r="H2" s="265"/>
      <c r="I2" s="265"/>
    </row>
    <row r="3" spans="1:55" ht="15.75" thickBot="1" x14ac:dyDescent="0.3"/>
    <row r="4" spans="1:55" ht="15.75" thickBot="1" x14ac:dyDescent="0.3">
      <c r="D4" s="266" t="s">
        <v>105</v>
      </c>
      <c r="G4" s="267"/>
      <c r="I4" s="268"/>
      <c r="R4" s="754" t="s">
        <v>1167</v>
      </c>
      <c r="S4" s="755" t="str">
        <f>'Manuell filtrering og justering'!H2</f>
        <v>No</v>
      </c>
    </row>
    <row r="5" spans="1:55" ht="15.75" thickBot="1" x14ac:dyDescent="0.3">
      <c r="D5" s="269" t="str">
        <f>ADBT0</f>
        <v>Office</v>
      </c>
      <c r="AQ5" s="270"/>
    </row>
    <row r="6" spans="1:55" ht="15.75" thickBot="1" x14ac:dyDescent="0.3">
      <c r="AQ6" s="270"/>
    </row>
    <row r="7" spans="1:55" ht="51" customHeight="1" thickBot="1" x14ac:dyDescent="0.3">
      <c r="C7" s="271" t="s">
        <v>104</v>
      </c>
      <c r="D7" s="272" t="s">
        <v>91</v>
      </c>
      <c r="E7" s="1371" t="s">
        <v>242</v>
      </c>
      <c r="F7" s="1372"/>
      <c r="G7" s="1372"/>
      <c r="H7" s="1372"/>
      <c r="I7" s="1372"/>
      <c r="K7" s="90" t="s">
        <v>247</v>
      </c>
      <c r="L7" s="1373" t="s">
        <v>248</v>
      </c>
      <c r="M7" s="1374"/>
      <c r="N7" s="1374"/>
      <c r="O7" s="1374"/>
      <c r="P7" s="1375"/>
      <c r="Q7" s="273" t="s">
        <v>231</v>
      </c>
      <c r="R7" s="92" t="s">
        <v>17</v>
      </c>
      <c r="T7" s="92" t="s">
        <v>85</v>
      </c>
      <c r="U7" s="92" t="s">
        <v>86</v>
      </c>
      <c r="W7" s="92" t="s">
        <v>249</v>
      </c>
      <c r="X7" s="92" t="s">
        <v>776</v>
      </c>
      <c r="Y7" s="92" t="s">
        <v>1291</v>
      </c>
      <c r="AA7" s="1376" t="s">
        <v>256</v>
      </c>
      <c r="AB7" s="1377"/>
      <c r="AC7" s="1377"/>
      <c r="AD7" s="1377"/>
      <c r="AE7" s="1378"/>
      <c r="AG7" s="1376" t="s">
        <v>11</v>
      </c>
      <c r="AH7" s="1377"/>
      <c r="AI7" s="1377"/>
      <c r="AJ7" s="1377"/>
      <c r="AK7" s="1378"/>
      <c r="AM7" s="1376" t="str">
        <f>"Chosen "&amp;D5</f>
        <v>Chosen Office</v>
      </c>
      <c r="AN7" s="1377"/>
      <c r="AO7" s="1377"/>
      <c r="AP7" s="1377"/>
      <c r="AQ7" s="1377"/>
      <c r="AR7" s="1382" t="s">
        <v>249</v>
      </c>
      <c r="AS7" s="1383"/>
      <c r="AT7" s="1383"/>
      <c r="AU7" s="1384" t="s">
        <v>250</v>
      </c>
      <c r="AV7" s="1380"/>
      <c r="AW7" s="1381"/>
      <c r="AX7" s="1379" t="s">
        <v>251</v>
      </c>
      <c r="AY7" s="1380"/>
      <c r="AZ7" s="1381"/>
    </row>
    <row r="8" spans="1:55" ht="15.75" thickBot="1" x14ac:dyDescent="0.3">
      <c r="A8" s="177">
        <v>1</v>
      </c>
      <c r="C8" s="274"/>
      <c r="D8" s="275" t="s">
        <v>66</v>
      </c>
      <c r="E8" s="276" t="str">
        <f>ADBT2</f>
        <v>Office</v>
      </c>
      <c r="F8" s="276" t="str">
        <f>ADBT3</f>
        <v>Retail</v>
      </c>
      <c r="G8" s="276" t="str">
        <f>ADBT12</f>
        <v>Residential</v>
      </c>
      <c r="H8" s="276" t="str">
        <f>ADBT1</f>
        <v>Industrial</v>
      </c>
      <c r="I8" s="277" t="str">
        <f>ADBT8</f>
        <v>Education</v>
      </c>
      <c r="K8" s="278" t="str">
        <f>$D$5</f>
        <v>Office</v>
      </c>
      <c r="L8" s="279"/>
      <c r="M8" s="280"/>
      <c r="N8" s="280"/>
      <c r="O8" s="280"/>
      <c r="P8" s="756" t="s">
        <v>1167</v>
      </c>
      <c r="Q8" s="281" t="s">
        <v>231</v>
      </c>
      <c r="R8" s="282"/>
      <c r="W8" s="114"/>
      <c r="X8" s="93"/>
      <c r="Y8" s="93"/>
      <c r="AA8" s="283" t="s">
        <v>93</v>
      </c>
      <c r="AB8" s="284" t="s">
        <v>94</v>
      </c>
      <c r="AC8" s="284" t="s">
        <v>95</v>
      </c>
      <c r="AD8" s="284" t="s">
        <v>255</v>
      </c>
      <c r="AE8" s="285" t="s">
        <v>96</v>
      </c>
      <c r="AG8" s="274" t="s">
        <v>93</v>
      </c>
      <c r="AH8" s="275" t="s">
        <v>94</v>
      </c>
      <c r="AI8" s="275" t="s">
        <v>95</v>
      </c>
      <c r="AJ8" s="275" t="s">
        <v>255</v>
      </c>
      <c r="AK8" s="286" t="s">
        <v>96</v>
      </c>
      <c r="AM8" s="274" t="s">
        <v>93</v>
      </c>
      <c r="AN8" s="275" t="s">
        <v>94</v>
      </c>
      <c r="AO8" s="275" t="s">
        <v>95</v>
      </c>
      <c r="AP8" s="275" t="s">
        <v>255</v>
      </c>
      <c r="AQ8" s="287" t="s">
        <v>96</v>
      </c>
      <c r="AR8" s="288" t="s">
        <v>257</v>
      </c>
      <c r="AS8" s="289" t="s">
        <v>55</v>
      </c>
      <c r="AT8" s="289"/>
      <c r="AU8" s="290" t="s">
        <v>257</v>
      </c>
      <c r="AV8" s="291" t="s">
        <v>55</v>
      </c>
      <c r="AW8" s="292"/>
      <c r="AX8" s="293" t="s">
        <v>257</v>
      </c>
      <c r="AY8" s="291" t="s">
        <v>55</v>
      </c>
      <c r="AZ8" s="294"/>
      <c r="BB8" s="177">
        <v>5</v>
      </c>
      <c r="BC8" s="177" t="s">
        <v>83</v>
      </c>
    </row>
    <row r="9" spans="1:55" x14ac:dyDescent="0.25">
      <c r="A9" s="529">
        <v>2</v>
      </c>
      <c r="B9" s="529"/>
      <c r="C9" s="558" t="s">
        <v>97</v>
      </c>
      <c r="D9" s="600" t="s">
        <v>336</v>
      </c>
      <c r="E9" s="462">
        <v>4</v>
      </c>
      <c r="F9" s="462">
        <v>4</v>
      </c>
      <c r="G9" s="462">
        <v>4</v>
      </c>
      <c r="H9" s="462">
        <v>4</v>
      </c>
      <c r="I9" s="463">
        <v>4</v>
      </c>
      <c r="K9" s="297">
        <f t="shared" ref="K9:K16" si="0">HLOOKUP($D$5,$E$8:$I$99,$A9,FALSE)</f>
        <v>4</v>
      </c>
      <c r="L9" s="298"/>
      <c r="M9" s="299"/>
      <c r="N9" s="299"/>
      <c r="O9" s="299">
        <f>'Manuell filtrering og justering'!D7</f>
        <v>0</v>
      </c>
      <c r="P9" s="300">
        <f>VLOOKUP(C9,'Manuell filtrering og justering'!$A$7:$G$97,'Manuell filtrering og justering'!$G$1,FALSE)</f>
        <v>4</v>
      </c>
      <c r="Q9" s="301">
        <f>IF(SUM(L9:O9)&gt;K9,K9,SUM(L9:O9))</f>
        <v>0</v>
      </c>
      <c r="R9" s="302">
        <f>IF($S$4='Manuell filtrering og justering'!$I$2,P9,(K9-Q9))</f>
        <v>4</v>
      </c>
      <c r="T9" s="303">
        <f>(BP_32/Man_Credits)*Man01_credits</f>
        <v>2.4E-2</v>
      </c>
      <c r="U9" s="303">
        <f>IF(R9=0,0,(Man01_38/Man01_credits)*W9)</f>
        <v>0</v>
      </c>
      <c r="W9" s="598">
        <f>'Assessment Issue Scoring'!E22</f>
        <v>0</v>
      </c>
      <c r="X9" s="304"/>
      <c r="Y9" s="304"/>
      <c r="AA9" s="305"/>
      <c r="AB9" s="467"/>
      <c r="AC9" s="467"/>
      <c r="AD9" s="467"/>
      <c r="AE9" s="306"/>
      <c r="AF9" s="468"/>
      <c r="AG9" s="305"/>
      <c r="AH9" s="467"/>
      <c r="AI9" s="467"/>
      <c r="AJ9" s="467"/>
      <c r="AK9" s="306"/>
      <c r="AL9" s="270"/>
      <c r="AM9" s="307"/>
      <c r="AN9" s="308"/>
      <c r="AO9" s="308"/>
      <c r="AP9" s="308"/>
      <c r="AQ9" s="309">
        <f t="shared" ref="AQ9:AQ69" si="1">IF($D$5=$G$8,AK9,AE9)</f>
        <v>0</v>
      </c>
      <c r="AR9" s="307">
        <f>IF(AQ9=0,9,IF(W9&gt;=AQ9,5,IF(W9&gt;=AP9,4,IF(W9&gt;=AO9,3,IF(W9&gt;=AN9,2,IF(W9&lt;AM9,0,1))))))</f>
        <v>9</v>
      </c>
      <c r="AS9" s="310" t="str">
        <f t="shared" ref="AS9:AS15" si="2">VLOOKUP(AR9,$BB$8:$BC$14,2,FALSE)</f>
        <v>N/A</v>
      </c>
      <c r="AT9" s="311"/>
      <c r="AU9" s="307">
        <f t="shared" ref="AU9:AU15" si="3">IF(AQ9=0,9,IF(X9&gt;=AQ9,5,IF(X9&gt;=AP9,4,IF(X9&gt;=AO9,3,IF(X9&gt;=AN9,2,IF(X9&lt;AM9,0,1))))))</f>
        <v>9</v>
      </c>
      <c r="AV9" s="310" t="str">
        <f t="shared" ref="AV9:AV15" si="4">VLOOKUP(AU9,$BB$8:$BC$14,2,FALSE)</f>
        <v>N/A</v>
      </c>
      <c r="AW9" s="311"/>
      <c r="AX9" s="307">
        <f t="shared" ref="AX9:AX15" si="5">IF(AQ9=0,9,IF(X9&gt;=AQ9,5,IF(X9&gt;=AP9,4,IF(X9&gt;=AO9,3,IF(X9&gt;=AN9,2,IF(X9&lt;AM9,0,1))))))</f>
        <v>9</v>
      </c>
      <c r="AY9" s="310" t="str">
        <f t="shared" ref="AY9:AY15" si="6">VLOOKUP(AX9,$BB$8:$BC$14,2,FALSE)</f>
        <v>N/A</v>
      </c>
      <c r="AZ9" s="311"/>
      <c r="BB9" s="177">
        <v>4</v>
      </c>
      <c r="BC9" s="177" t="s">
        <v>82</v>
      </c>
    </row>
    <row r="10" spans="1:55" x14ac:dyDescent="0.25">
      <c r="A10" s="529">
        <v>3</v>
      </c>
      <c r="B10" s="529"/>
      <c r="C10" s="363" t="s">
        <v>98</v>
      </c>
      <c r="D10" s="560" t="s">
        <v>337</v>
      </c>
      <c r="E10" s="461">
        <v>4</v>
      </c>
      <c r="F10" s="461">
        <v>4</v>
      </c>
      <c r="G10" s="461">
        <v>4</v>
      </c>
      <c r="H10" s="461">
        <v>4</v>
      </c>
      <c r="I10" s="465">
        <v>4</v>
      </c>
      <c r="K10" s="314">
        <f t="shared" si="0"/>
        <v>4</v>
      </c>
      <c r="L10" s="298"/>
      <c r="M10" s="299"/>
      <c r="N10" s="299"/>
      <c r="O10" s="299">
        <f>'Manuell filtrering og justering'!D8</f>
        <v>0</v>
      </c>
      <c r="P10" s="300">
        <f>VLOOKUP(C10,'Manuell filtrering og justering'!$A$7:$G$97,'Manuell filtrering og justering'!$G$1,FALSE)</f>
        <v>4</v>
      </c>
      <c r="Q10" s="301">
        <f t="shared" ref="Q10:Q15" si="7">IF(SUM(L10:O10)&gt;K10,K10,SUM(L10:O10))</f>
        <v>0</v>
      </c>
      <c r="R10" s="302">
        <f>IF($S$4='Manuell filtrering og justering'!$I$2,P10,(K10-Q10))</f>
        <v>4</v>
      </c>
      <c r="T10" s="303">
        <f>(BP_32/Man_Credits)*Man02_credits</f>
        <v>2.4E-2</v>
      </c>
      <c r="U10" s="303">
        <f>IF(R10=0,0,(Man02_11/Man02_credits)*Man02_user)</f>
        <v>0</v>
      </c>
      <c r="W10" s="598">
        <f>'Assessment Issue Scoring'!E50</f>
        <v>0</v>
      </c>
      <c r="X10" s="304"/>
      <c r="Y10" s="304"/>
      <c r="AA10" s="469"/>
      <c r="AB10" s="315"/>
      <c r="AC10" s="315"/>
      <c r="AD10" s="315"/>
      <c r="AE10" s="320"/>
      <c r="AF10" s="468"/>
      <c r="AG10" s="469"/>
      <c r="AH10" s="315"/>
      <c r="AI10" s="315"/>
      <c r="AJ10" s="315"/>
      <c r="AK10" s="320"/>
      <c r="AL10" s="270"/>
      <c r="AM10" s="316"/>
      <c r="AN10" s="317"/>
      <c r="AO10" s="317"/>
      <c r="AP10" s="317"/>
      <c r="AQ10" s="318">
        <f t="shared" si="1"/>
        <v>0</v>
      </c>
      <c r="AR10" s="316">
        <f>IF(AQ10=0,9,IF(W10&gt;=AQ10,5,IF(W10&gt;=AP10,4,IF(W10&gt;=AO10,3,IF(W10&gt;=AN10,2,IF(W10&lt;AM10,0,1))))))</f>
        <v>9</v>
      </c>
      <c r="AS10" s="299" t="str">
        <f t="shared" si="2"/>
        <v>N/A</v>
      </c>
      <c r="AT10" s="319"/>
      <c r="AU10" s="316">
        <f t="shared" si="3"/>
        <v>9</v>
      </c>
      <c r="AV10" s="299" t="str">
        <f t="shared" si="4"/>
        <v>N/A</v>
      </c>
      <c r="AW10" s="319"/>
      <c r="AX10" s="316">
        <f t="shared" si="5"/>
        <v>9</v>
      </c>
      <c r="AY10" s="299" t="str">
        <f t="shared" si="6"/>
        <v>N/A</v>
      </c>
      <c r="AZ10" s="319"/>
      <c r="BB10" s="177">
        <v>3</v>
      </c>
      <c r="BC10" s="177" t="s">
        <v>81</v>
      </c>
    </row>
    <row r="11" spans="1:55" x14ac:dyDescent="0.25">
      <c r="A11" s="529">
        <v>4</v>
      </c>
      <c r="B11" s="529"/>
      <c r="C11" s="363" t="s">
        <v>99</v>
      </c>
      <c r="D11" s="560" t="s">
        <v>338</v>
      </c>
      <c r="E11" s="461">
        <v>6</v>
      </c>
      <c r="F11" s="461">
        <v>6</v>
      </c>
      <c r="G11" s="461">
        <v>6</v>
      </c>
      <c r="H11" s="461">
        <v>6</v>
      </c>
      <c r="I11" s="465">
        <v>6</v>
      </c>
      <c r="K11" s="314">
        <f t="shared" si="0"/>
        <v>6</v>
      </c>
      <c r="L11" s="298"/>
      <c r="M11" s="299"/>
      <c r="N11" s="299"/>
      <c r="O11" s="299">
        <f>'Manuell filtrering og justering'!D9</f>
        <v>0</v>
      </c>
      <c r="P11" s="300">
        <f>VLOOKUP(C11,'Manuell filtrering og justering'!$A$7:$G$97,'Manuell filtrering og justering'!$G$1,FALSE)</f>
        <v>6</v>
      </c>
      <c r="Q11" s="301">
        <f t="shared" si="7"/>
        <v>0</v>
      </c>
      <c r="R11" s="302">
        <f>IF($S$4='Manuell filtrering og justering'!$I$2,P11,(K11-Q11))</f>
        <v>6</v>
      </c>
      <c r="T11" s="303">
        <f>(BP_32/Man_Credits)*Man03_credits</f>
        <v>3.6000000000000004E-2</v>
      </c>
      <c r="U11" s="303">
        <f>IF(R11=0,0,(Man03_12/Man03_credits)*Man03_user)</f>
        <v>0</v>
      </c>
      <c r="W11" s="598">
        <f>'Assessment Issue Scoring'!E110</f>
        <v>0</v>
      </c>
      <c r="X11" s="598">
        <f>'Assessment Issue Scoring'!L79</f>
        <v>0</v>
      </c>
      <c r="Y11" s="304"/>
      <c r="AA11" s="482"/>
      <c r="AB11" s="483"/>
      <c r="AC11" s="483"/>
      <c r="AD11" s="483">
        <v>1</v>
      </c>
      <c r="AE11" s="484">
        <v>2</v>
      </c>
      <c r="AF11" s="468"/>
      <c r="AG11" s="482"/>
      <c r="AH11" s="483"/>
      <c r="AI11" s="483"/>
      <c r="AJ11" s="483">
        <v>1</v>
      </c>
      <c r="AK11" s="484">
        <v>2</v>
      </c>
      <c r="AL11" s="270"/>
      <c r="AM11" s="316"/>
      <c r="AN11" s="317"/>
      <c r="AO11" s="317"/>
      <c r="AP11" s="317">
        <f t="shared" ref="AP11:AP12" si="8">IF($D$5=$G$8,AJ11,AD11)</f>
        <v>1</v>
      </c>
      <c r="AQ11" s="318">
        <f t="shared" si="1"/>
        <v>2</v>
      </c>
      <c r="AR11" s="316">
        <f>IF(AQ11=0,9,IF(X11&gt;=AQ11,5,IF(X11&gt;=AP11,4,IF(X11&gt;=AO11,3,IF(X11&gt;=AN11,2,IF(X11&lt;AM11,0,1))))))</f>
        <v>3</v>
      </c>
      <c r="AS11" s="299" t="str">
        <f t="shared" si="2"/>
        <v>Very Good</v>
      </c>
      <c r="AT11" s="319"/>
      <c r="AU11" s="316">
        <f t="shared" si="3"/>
        <v>3</v>
      </c>
      <c r="AV11" s="299" t="str">
        <f t="shared" si="4"/>
        <v>Very Good</v>
      </c>
      <c r="AW11" s="319"/>
      <c r="AX11" s="316">
        <f t="shared" si="5"/>
        <v>3</v>
      </c>
      <c r="AY11" s="299" t="str">
        <f t="shared" si="6"/>
        <v>Very Good</v>
      </c>
      <c r="AZ11" s="319"/>
      <c r="BB11" s="177">
        <v>2</v>
      </c>
      <c r="BC11" s="177" t="s">
        <v>80</v>
      </c>
    </row>
    <row r="12" spans="1:55" x14ac:dyDescent="0.25">
      <c r="A12" s="529">
        <v>5</v>
      </c>
      <c r="B12" s="529"/>
      <c r="C12" s="363" t="s">
        <v>100</v>
      </c>
      <c r="D12" s="560" t="s">
        <v>339</v>
      </c>
      <c r="E12" s="461">
        <v>3</v>
      </c>
      <c r="F12" s="461">
        <v>3</v>
      </c>
      <c r="G12" s="461">
        <v>3</v>
      </c>
      <c r="H12" s="461">
        <v>3</v>
      </c>
      <c r="I12" s="465">
        <v>3</v>
      </c>
      <c r="K12" s="314">
        <f t="shared" si="0"/>
        <v>3</v>
      </c>
      <c r="L12" s="298"/>
      <c r="M12" s="299"/>
      <c r="N12" s="299"/>
      <c r="O12" s="299">
        <f>'Manuell filtrering og justering'!D10</f>
        <v>0</v>
      </c>
      <c r="P12" s="300">
        <f>VLOOKUP(C12,'Manuell filtrering og justering'!$A$7:$G$97,'Manuell filtrering og justering'!$G$1,FALSE)</f>
        <v>3</v>
      </c>
      <c r="Q12" s="301">
        <f t="shared" si="7"/>
        <v>0</v>
      </c>
      <c r="R12" s="302">
        <f>IF($S$4='Manuell filtrering og justering'!$I$2,P12,(K12-Q12))</f>
        <v>3</v>
      </c>
      <c r="T12" s="303">
        <f>(BP_32/Man_Credits)*Man04_credits</f>
        <v>1.8000000000000002E-2</v>
      </c>
      <c r="U12" s="303">
        <f>IF(R12=0,0,(Man04_17/Man04_credits)*Man04_user)</f>
        <v>0</v>
      </c>
      <c r="W12" s="598">
        <f>'Assessment Issue Scoring'!E132</f>
        <v>0</v>
      </c>
      <c r="X12" s="599">
        <f>'Assessment Issue Scoring'!L132</f>
        <v>0</v>
      </c>
      <c r="Y12" s="304"/>
      <c r="AA12" s="482">
        <v>1</v>
      </c>
      <c r="AB12" s="483">
        <v>1</v>
      </c>
      <c r="AC12" s="483">
        <v>2</v>
      </c>
      <c r="AD12" s="483">
        <v>2</v>
      </c>
      <c r="AE12" s="484">
        <v>3</v>
      </c>
      <c r="AF12" s="468"/>
      <c r="AG12" s="482">
        <v>1</v>
      </c>
      <c r="AH12" s="483">
        <v>1</v>
      </c>
      <c r="AI12" s="483">
        <v>2</v>
      </c>
      <c r="AJ12" s="483">
        <v>2</v>
      </c>
      <c r="AK12" s="484">
        <v>3</v>
      </c>
      <c r="AL12" s="270"/>
      <c r="AM12" s="316">
        <f>IF($D$5=$G$8,AG12,AA12)</f>
        <v>1</v>
      </c>
      <c r="AN12" s="317">
        <f>IF($D$5=$G$8,AH12,AB12)</f>
        <v>1</v>
      </c>
      <c r="AO12" s="317">
        <f t="shared" ref="AO12" si="9">IF($D$5=$G$8,AI12,AC12)</f>
        <v>2</v>
      </c>
      <c r="AP12" s="317">
        <f t="shared" si="8"/>
        <v>2</v>
      </c>
      <c r="AQ12" s="321">
        <f t="shared" si="1"/>
        <v>3</v>
      </c>
      <c r="AR12" s="316">
        <f>IF(AQ12=0,9,IF(X12&gt;=AQ12,5,IF(X12&gt;=AP12,4,IF(X12&gt;=AO12,3,IF(X12&gt;=AN12,2,IF(X12&lt;AM12,0,1))))))</f>
        <v>0</v>
      </c>
      <c r="AS12" s="299" t="str">
        <f t="shared" si="2"/>
        <v>Unclassified</v>
      </c>
      <c r="AT12" s="319"/>
      <c r="AU12" s="316">
        <f t="shared" si="3"/>
        <v>0</v>
      </c>
      <c r="AV12" s="299" t="str">
        <f t="shared" si="4"/>
        <v>Unclassified</v>
      </c>
      <c r="AW12" s="319"/>
      <c r="AX12" s="316">
        <f t="shared" si="5"/>
        <v>0</v>
      </c>
      <c r="AY12" s="299" t="str">
        <f t="shared" si="6"/>
        <v>Unclassified</v>
      </c>
      <c r="AZ12" s="319"/>
      <c r="BB12" s="177">
        <v>1</v>
      </c>
      <c r="BC12" s="177" t="s">
        <v>79</v>
      </c>
    </row>
    <row r="13" spans="1:55" x14ac:dyDescent="0.25">
      <c r="A13" s="529">
        <v>6</v>
      </c>
      <c r="B13" s="529"/>
      <c r="C13" s="363" t="s">
        <v>101</v>
      </c>
      <c r="D13" s="560" t="s">
        <v>340</v>
      </c>
      <c r="E13" s="461">
        <v>3</v>
      </c>
      <c r="F13" s="461">
        <v>3</v>
      </c>
      <c r="G13" s="461">
        <v>3</v>
      </c>
      <c r="H13" s="461">
        <v>3</v>
      </c>
      <c r="I13" s="465">
        <v>3</v>
      </c>
      <c r="K13" s="314">
        <f t="shared" si="0"/>
        <v>3</v>
      </c>
      <c r="L13" s="298"/>
      <c r="M13" s="299"/>
      <c r="N13" s="299"/>
      <c r="O13" s="299">
        <f>'Manuell filtrering og justering'!D11</f>
        <v>0</v>
      </c>
      <c r="P13" s="300">
        <f>VLOOKUP(C13,'Manuell filtrering og justering'!$A$7:$G$97,'Manuell filtrering og justering'!$G$1,FALSE)</f>
        <v>3</v>
      </c>
      <c r="Q13" s="301">
        <f t="shared" si="7"/>
        <v>0</v>
      </c>
      <c r="R13" s="302">
        <f>IF($S$4='Manuell filtrering og justering'!$I$2,P13,(K13-Q13))</f>
        <v>3</v>
      </c>
      <c r="T13" s="303">
        <f>(BP_32/Man_Credits)*Man05_credits</f>
        <v>1.8000000000000002E-2</v>
      </c>
      <c r="U13" s="303">
        <f>IF(R13=0,0,(Man05_10/Man05_credits)*Man05_user)</f>
        <v>0</v>
      </c>
      <c r="W13" s="598">
        <f>'Assessment Issue Scoring'!E155</f>
        <v>0</v>
      </c>
      <c r="X13" s="598">
        <f>'Assessment Issue Scoring'!L148</f>
        <v>0</v>
      </c>
      <c r="Y13" s="304"/>
      <c r="AA13" s="485"/>
      <c r="AB13" s="486"/>
      <c r="AC13" s="486"/>
      <c r="AD13" s="486">
        <v>1</v>
      </c>
      <c r="AE13" s="487">
        <v>1</v>
      </c>
      <c r="AF13" s="267"/>
      <c r="AG13" s="485"/>
      <c r="AH13" s="486"/>
      <c r="AI13" s="486"/>
      <c r="AJ13" s="486">
        <v>1</v>
      </c>
      <c r="AK13" s="487">
        <v>1</v>
      </c>
      <c r="AM13" s="322"/>
      <c r="AN13" s="323"/>
      <c r="AO13" s="323"/>
      <c r="AP13" s="323">
        <f>IF($D$5=$G$8,AJ13,AD13)</f>
        <v>1</v>
      </c>
      <c r="AQ13" s="324">
        <f>IF($D$5=$G$8,AK13,AE13)</f>
        <v>1</v>
      </c>
      <c r="AR13" s="316">
        <f>IF(AQ13=0,9,IF(X13&gt;=AQ13,5,IF(X13&gt;=AP13,4,IF(X13&gt;=AO13,3,IF(X13&gt;=AN13,2,IF(X13&lt;AM13,0,1))))))</f>
        <v>3</v>
      </c>
      <c r="AS13" s="299" t="str">
        <f t="shared" si="2"/>
        <v>Very Good</v>
      </c>
      <c r="AT13" s="319"/>
      <c r="AU13" s="316">
        <f t="shared" si="3"/>
        <v>3</v>
      </c>
      <c r="AV13" s="299" t="str">
        <f t="shared" si="4"/>
        <v>Very Good</v>
      </c>
      <c r="AW13" s="319"/>
      <c r="AX13" s="316">
        <f t="shared" si="5"/>
        <v>3</v>
      </c>
      <c r="AY13" s="299" t="str">
        <f t="shared" si="6"/>
        <v>Very Good</v>
      </c>
      <c r="AZ13" s="319"/>
      <c r="BB13" s="177">
        <v>0</v>
      </c>
      <c r="BC13" s="177" t="s">
        <v>77</v>
      </c>
    </row>
    <row r="14" spans="1:55" x14ac:dyDescent="0.25">
      <c r="A14" s="529">
        <v>7</v>
      </c>
      <c r="C14" s="298" t="s">
        <v>102</v>
      </c>
      <c r="D14" s="299"/>
      <c r="E14" s="312"/>
      <c r="F14" s="312"/>
      <c r="G14" s="312"/>
      <c r="H14" s="312"/>
      <c r="I14" s="313"/>
      <c r="K14" s="314">
        <f t="shared" si="0"/>
        <v>0</v>
      </c>
      <c r="L14" s="298"/>
      <c r="M14" s="299"/>
      <c r="N14" s="299"/>
      <c r="O14" s="299">
        <f>'Manuell filtrering og justering'!D12</f>
        <v>0</v>
      </c>
      <c r="P14" s="300"/>
      <c r="Q14" s="301">
        <f t="shared" si="7"/>
        <v>0</v>
      </c>
      <c r="R14" s="302">
        <f>IF($S$4='Manuell filtrering og justering'!$I$2,P14,(K14-Q14))</f>
        <v>0</v>
      </c>
      <c r="T14" s="303">
        <f>(BP_32/Man_Credits)*Man06_credits</f>
        <v>0</v>
      </c>
      <c r="U14" s="303">
        <f>IF(R14=0,0,(T14/Man06_credits)*Man06_user)</f>
        <v>0</v>
      </c>
      <c r="W14" s="304"/>
      <c r="X14" s="304"/>
      <c r="Y14" s="304"/>
      <c r="AA14" s="470"/>
      <c r="AB14" s="471"/>
      <c r="AC14" s="471"/>
      <c r="AD14" s="471"/>
      <c r="AE14" s="472"/>
      <c r="AF14" s="267"/>
      <c r="AG14" s="470"/>
      <c r="AH14" s="471"/>
      <c r="AI14" s="471"/>
      <c r="AJ14" s="471"/>
      <c r="AK14" s="472"/>
      <c r="AM14" s="322"/>
      <c r="AN14" s="325"/>
      <c r="AO14" s="323"/>
      <c r="AP14" s="323"/>
      <c r="AQ14" s="318">
        <f t="shared" si="1"/>
        <v>0</v>
      </c>
      <c r="AR14" s="316">
        <f t="shared" ref="AR14:AR74" si="10">IF(AQ14=0,9,IF(W14&gt;=AQ14,5,IF(W14&gt;=AP14,4,IF(W14&gt;=AO14,3,IF(W14&gt;=AN14,2,IF(W14&lt;AM14,0,1))))))</f>
        <v>9</v>
      </c>
      <c r="AS14" s="299" t="str">
        <f t="shared" si="2"/>
        <v>N/A</v>
      </c>
      <c r="AT14" s="319"/>
      <c r="AU14" s="316">
        <f t="shared" si="3"/>
        <v>9</v>
      </c>
      <c r="AV14" s="299" t="str">
        <f t="shared" si="4"/>
        <v>N/A</v>
      </c>
      <c r="AW14" s="319"/>
      <c r="AX14" s="316">
        <f t="shared" si="5"/>
        <v>9</v>
      </c>
      <c r="AY14" s="299" t="str">
        <f t="shared" si="6"/>
        <v>N/A</v>
      </c>
      <c r="AZ14" s="319"/>
      <c r="BB14" s="177">
        <v>9</v>
      </c>
      <c r="BC14" s="177" t="s">
        <v>16</v>
      </c>
    </row>
    <row r="15" spans="1:55" ht="15.75" thickBot="1" x14ac:dyDescent="0.3">
      <c r="A15" s="529">
        <v>8</v>
      </c>
      <c r="C15" s="326" t="s">
        <v>103</v>
      </c>
      <c r="D15" s="327"/>
      <c r="E15" s="328"/>
      <c r="F15" s="328"/>
      <c r="G15" s="328"/>
      <c r="H15" s="328"/>
      <c r="I15" s="329"/>
      <c r="K15" s="330">
        <f t="shared" si="0"/>
        <v>0</v>
      </c>
      <c r="L15" s="298"/>
      <c r="M15" s="299"/>
      <c r="N15" s="299"/>
      <c r="O15" s="299">
        <f>'Manuell filtrering og justering'!D13</f>
        <v>0</v>
      </c>
      <c r="P15" s="300"/>
      <c r="Q15" s="301">
        <f t="shared" si="7"/>
        <v>0</v>
      </c>
      <c r="R15" s="302">
        <f>IF($S$4='Manuell filtrering og justering'!$I$2,P15,(K15-Q15))</f>
        <v>0</v>
      </c>
      <c r="T15" s="303">
        <f>(BP_32/Man_Credits)*Man07_credits</f>
        <v>0</v>
      </c>
      <c r="U15" s="303">
        <f>IF(R15=0,0,(T15/Man07_credits)*Man07_user)</f>
        <v>0</v>
      </c>
      <c r="W15" s="304"/>
      <c r="X15" s="304"/>
      <c r="Y15" s="304"/>
      <c r="AA15" s="473"/>
      <c r="AB15" s="474"/>
      <c r="AC15" s="474"/>
      <c r="AD15" s="474"/>
      <c r="AE15" s="475"/>
      <c r="AF15" s="267"/>
      <c r="AG15" s="473"/>
      <c r="AH15" s="474"/>
      <c r="AI15" s="474"/>
      <c r="AJ15" s="474"/>
      <c r="AK15" s="475"/>
      <c r="AM15" s="333"/>
      <c r="AN15" s="334"/>
      <c r="AO15" s="335"/>
      <c r="AP15" s="335"/>
      <c r="AQ15" s="336">
        <f t="shared" si="1"/>
        <v>0</v>
      </c>
      <c r="AR15" s="337">
        <f t="shared" si="10"/>
        <v>9</v>
      </c>
      <c r="AS15" s="338" t="str">
        <f t="shared" si="2"/>
        <v>N/A</v>
      </c>
      <c r="AT15" s="339"/>
      <c r="AU15" s="337">
        <f t="shared" si="3"/>
        <v>9</v>
      </c>
      <c r="AV15" s="338" t="str">
        <f t="shared" si="4"/>
        <v>N/A</v>
      </c>
      <c r="AW15" s="339"/>
      <c r="AX15" s="337">
        <f t="shared" si="5"/>
        <v>9</v>
      </c>
      <c r="AY15" s="338" t="str">
        <f t="shared" si="6"/>
        <v>N/A</v>
      </c>
      <c r="AZ15" s="339"/>
    </row>
    <row r="16" spans="1:55" ht="15.75" thickBot="1" x14ac:dyDescent="0.3">
      <c r="A16" s="529">
        <v>9</v>
      </c>
      <c r="C16" s="340"/>
      <c r="D16" s="341" t="s">
        <v>231</v>
      </c>
      <c r="E16" s="341">
        <f>SUM(E9:E15)</f>
        <v>20</v>
      </c>
      <c r="F16" s="341">
        <f>SUM(F9:F15)</f>
        <v>20</v>
      </c>
      <c r="G16" s="341">
        <f>SUM(G9:G15)</f>
        <v>20</v>
      </c>
      <c r="H16" s="341">
        <f>SUM(H9:H15)</f>
        <v>20</v>
      </c>
      <c r="I16" s="342">
        <f>SUM(I9:I15)</f>
        <v>20</v>
      </c>
      <c r="K16" s="343">
        <f t="shared" si="0"/>
        <v>20</v>
      </c>
      <c r="L16" s="344"/>
      <c r="M16" s="345"/>
      <c r="N16" s="345"/>
      <c r="O16" s="345"/>
      <c r="P16" s="346"/>
      <c r="Q16" s="347">
        <f>SUM(Q9:Q15)</f>
        <v>0</v>
      </c>
      <c r="R16" s="348">
        <f>SUM(R9:R15)</f>
        <v>20</v>
      </c>
      <c r="T16" s="349">
        <f>SUM(T9:T15)</f>
        <v>0.12000000000000001</v>
      </c>
      <c r="U16" s="349">
        <f>SUM(U9:U15)</f>
        <v>0</v>
      </c>
      <c r="W16" s="115">
        <f>SUM(W9:W15)</f>
        <v>0</v>
      </c>
      <c r="X16" s="115">
        <f>SUM(X9:X15)</f>
        <v>0</v>
      </c>
      <c r="Y16" s="115">
        <f>SUM(Y9:Y15)</f>
        <v>0</v>
      </c>
      <c r="AA16" s="267"/>
      <c r="AB16" s="267"/>
      <c r="AC16" s="267"/>
      <c r="AD16" s="267"/>
      <c r="AE16" s="267"/>
      <c r="AF16" s="267"/>
      <c r="AG16" s="267"/>
      <c r="AH16" s="267"/>
      <c r="AI16" s="267"/>
      <c r="AJ16" s="267"/>
      <c r="AK16" s="267"/>
      <c r="AM16" s="178"/>
      <c r="AN16" s="350"/>
      <c r="AO16" s="178"/>
      <c r="AP16" s="178"/>
      <c r="AQ16" s="178"/>
    </row>
    <row r="17" spans="1:61" ht="15.75" thickBot="1" x14ac:dyDescent="0.3">
      <c r="A17" s="529">
        <v>10</v>
      </c>
      <c r="W17" s="1"/>
      <c r="X17" s="1"/>
      <c r="Y17" s="1"/>
      <c r="AA17" s="267"/>
      <c r="AB17" s="267"/>
      <c r="AC17" s="267"/>
      <c r="AD17" s="267"/>
      <c r="AE17" s="267"/>
      <c r="AF17" s="267"/>
      <c r="AG17" s="267"/>
      <c r="AH17" s="267"/>
      <c r="AI17" s="267"/>
      <c r="AJ17" s="267"/>
      <c r="AK17" s="267"/>
      <c r="AM17" s="178"/>
      <c r="AN17" s="350"/>
      <c r="AO17" s="178"/>
      <c r="AP17" s="178"/>
      <c r="AQ17" s="178"/>
    </row>
    <row r="18" spans="1:61" ht="15.75" thickBot="1" x14ac:dyDescent="0.3">
      <c r="A18" s="529">
        <v>11</v>
      </c>
      <c r="C18" s="274"/>
      <c r="D18" s="275" t="s">
        <v>69</v>
      </c>
      <c r="E18" s="276" t="str">
        <f>$E$8</f>
        <v>Office</v>
      </c>
      <c r="F18" s="276" t="str">
        <f>$F$8</f>
        <v>Retail</v>
      </c>
      <c r="G18" s="276" t="str">
        <f>$G$8</f>
        <v>Residential</v>
      </c>
      <c r="H18" s="276" t="str">
        <f>$H$8</f>
        <v>Industrial</v>
      </c>
      <c r="I18" s="277" t="str">
        <f>$I$8</f>
        <v>Education</v>
      </c>
      <c r="K18" s="266" t="str">
        <f>$D$5</f>
        <v>Office</v>
      </c>
      <c r="L18" s="351"/>
      <c r="M18" s="352"/>
      <c r="N18" s="352"/>
      <c r="O18" s="352"/>
      <c r="P18" s="756" t="s">
        <v>1167</v>
      </c>
      <c r="Q18" s="281" t="s">
        <v>231</v>
      </c>
      <c r="R18" s="266"/>
      <c r="W18" s="71"/>
      <c r="X18" s="93"/>
      <c r="Y18" s="93"/>
      <c r="AA18" s="267"/>
      <c r="AB18" s="267"/>
      <c r="AC18" s="267"/>
      <c r="AD18" s="267"/>
      <c r="AE18" s="267"/>
      <c r="AF18" s="267"/>
      <c r="AG18" s="267"/>
      <c r="AH18" s="267"/>
      <c r="AI18" s="267"/>
      <c r="AJ18" s="267"/>
      <c r="AK18" s="267"/>
      <c r="AM18" s="178"/>
      <c r="AN18" s="350"/>
      <c r="AO18" s="178"/>
      <c r="AP18" s="178"/>
      <c r="AQ18" s="178"/>
      <c r="BD18" s="283" t="s">
        <v>305</v>
      </c>
      <c r="BE18" s="284" t="s">
        <v>91</v>
      </c>
      <c r="BF18" s="284" t="s">
        <v>303</v>
      </c>
      <c r="BG18" s="284" t="s">
        <v>304</v>
      </c>
      <c r="BH18" s="285" t="s">
        <v>1</v>
      </c>
    </row>
    <row r="19" spans="1:61" x14ac:dyDescent="0.25">
      <c r="A19" s="529">
        <v>12</v>
      </c>
      <c r="B19" s="529"/>
      <c r="C19" s="558" t="s">
        <v>125</v>
      </c>
      <c r="D19" s="559" t="s">
        <v>123</v>
      </c>
      <c r="E19" s="295">
        <v>4</v>
      </c>
      <c r="F19" s="295">
        <v>4</v>
      </c>
      <c r="G19" s="295">
        <v>4</v>
      </c>
      <c r="H19" s="295">
        <v>4</v>
      </c>
      <c r="I19" s="296">
        <v>4</v>
      </c>
      <c r="K19" s="353">
        <f t="shared" ref="K19:K28" si="11">HLOOKUP($D$5,$E$8:$I$99,$A19,FALSE)</f>
        <v>4</v>
      </c>
      <c r="L19" s="298"/>
      <c r="M19" s="299"/>
      <c r="N19" s="299"/>
      <c r="O19" s="299">
        <f>'Manuell filtrering og justering'!D17</f>
        <v>0</v>
      </c>
      <c r="P19" s="300">
        <f>VLOOKUP(C19,'Manuell filtrering og justering'!$A$7:$G$97,'Manuell filtrering og justering'!$G$1,FALSE)</f>
        <v>4</v>
      </c>
      <c r="Q19" s="301">
        <f>IF(SUM(L19:O19)&gt;K19,K19,SUM(L19:O19))</f>
        <v>0</v>
      </c>
      <c r="R19" s="302">
        <f>IF($S$4='Manuell filtrering og justering'!$I$2,P19,(K19-Q19))</f>
        <v>4</v>
      </c>
      <c r="T19" s="303">
        <f>(Hea_Weight/Hea_Credits)*Hea01_credits</f>
        <v>0.03</v>
      </c>
      <c r="U19" s="303">
        <f>IF(R19=0,0,(Hea01_26/Hea01_credits)*Hea01_user)</f>
        <v>0</v>
      </c>
      <c r="W19" s="528">
        <f>'Assessment Issue Scoring'!E180</f>
        <v>0</v>
      </c>
      <c r="X19" s="304"/>
      <c r="Y19" s="304"/>
      <c r="AA19" s="476"/>
      <c r="AB19" s="477"/>
      <c r="AC19" s="477"/>
      <c r="AD19" s="477"/>
      <c r="AE19" s="478"/>
      <c r="AF19" s="267"/>
      <c r="AG19" s="476"/>
      <c r="AH19" s="477"/>
      <c r="AI19" s="477"/>
      <c r="AJ19" s="477"/>
      <c r="AK19" s="478"/>
      <c r="AM19" s="359"/>
      <c r="AN19" s="360"/>
      <c r="AO19" s="360"/>
      <c r="AP19" s="360"/>
      <c r="AQ19" s="361">
        <f t="shared" si="1"/>
        <v>0</v>
      </c>
      <c r="AR19" s="307">
        <f t="shared" si="10"/>
        <v>9</v>
      </c>
      <c r="AS19" s="310" t="str">
        <f t="shared" ref="AS19:AS27" si="12">VLOOKUP(AR19,$BB$8:$BC$14,2,FALSE)</f>
        <v>N/A</v>
      </c>
      <c r="AT19" s="311"/>
      <c r="AU19" s="307">
        <f t="shared" ref="AU19:AU27" si="13">IF(AQ19=0,9,IF(X19&gt;=AQ19,5,IF(X19&gt;=AP19,4,IF(X19&gt;=AO19,3,IF(X19&gt;=AN19,2,IF(X19&lt;AM19,0,1))))))</f>
        <v>9</v>
      </c>
      <c r="AV19" s="310" t="str">
        <f t="shared" ref="AV19:AV27" si="14">VLOOKUP(AU19,$BB$8:$BC$14,2,FALSE)</f>
        <v>N/A</v>
      </c>
      <c r="AW19" s="311"/>
      <c r="AX19" s="307">
        <f t="shared" ref="AX19:AX27" si="15">IF(AQ19=0,9,IF(X19&gt;=AQ19,5,IF(X19&gt;=AP19,4,IF(X19&gt;=AO19,3,IF(X19&gt;=AN19,2,IF(X19&lt;AM19,0,1))))))</f>
        <v>9</v>
      </c>
      <c r="AY19" s="310" t="str">
        <f t="shared" ref="AY19:AY27" si="16">VLOOKUP(AX19,$BB$8:$BC$14,2,FALSE)</f>
        <v>N/A</v>
      </c>
      <c r="AZ19" s="311"/>
      <c r="BD19" s="503" t="s">
        <v>99</v>
      </c>
      <c r="BE19" s="310" t="s">
        <v>99</v>
      </c>
      <c r="BF19" s="310">
        <f>VLOOKUP($BD19,$C$9:$AY$104,AR$1,FALSE)</f>
        <v>3</v>
      </c>
      <c r="BG19" s="310">
        <f>VLOOKUP($BD19,$C$9:$AY$104,AU$1,FALSE)</f>
        <v>3</v>
      </c>
      <c r="BH19" s="311">
        <f>VLOOKUP($BD19,$C$9:$AY$104,AX$1,FALSE)</f>
        <v>3</v>
      </c>
    </row>
    <row r="20" spans="1:61" x14ac:dyDescent="0.25">
      <c r="A20" s="529">
        <v>13</v>
      </c>
      <c r="B20" s="529"/>
      <c r="C20" s="363" t="s">
        <v>126</v>
      </c>
      <c r="D20" s="374" t="s">
        <v>117</v>
      </c>
      <c r="E20" s="312">
        <v>7</v>
      </c>
      <c r="F20" s="312">
        <v>7</v>
      </c>
      <c r="G20" s="461">
        <v>5</v>
      </c>
      <c r="H20" s="312">
        <v>7</v>
      </c>
      <c r="I20" s="313">
        <v>7</v>
      </c>
      <c r="K20" s="362">
        <f t="shared" si="11"/>
        <v>7</v>
      </c>
      <c r="L20" s="363">
        <f>IF(ADBT0=ADBT12,0,IF(AD_Labsize=AD_Labsize03,2,IF(AD_catlevel=AD_catlevel01,1,0)))</f>
        <v>2</v>
      </c>
      <c r="M20" s="299"/>
      <c r="N20" s="299"/>
      <c r="O20" s="299">
        <f>'Manuell filtrering og justering'!D18</f>
        <v>0</v>
      </c>
      <c r="P20" s="300">
        <f>VLOOKUP(C20,'Manuell filtrering og justering'!$A$7:$G$97,'Manuell filtrering og justering'!$G$1,FALSE)</f>
        <v>5</v>
      </c>
      <c r="Q20" s="301">
        <f t="shared" ref="Q20:Q27" si="17">IF(SUM(L20:O20)&gt;K20,K20,SUM(L20:O20))</f>
        <v>2</v>
      </c>
      <c r="R20" s="302">
        <f>IF($S$4='Manuell filtrering og justering'!$I$2,P20,(K20-Q20))</f>
        <v>5</v>
      </c>
      <c r="T20" s="303">
        <f>(Hea_Weight/Hea_Credits)*Hea02_credits</f>
        <v>3.7499999999999999E-2</v>
      </c>
      <c r="U20" s="303">
        <f>IF(R20=0,0,(Hea02_25/Hea02_credits)*Hea02_user)</f>
        <v>0</v>
      </c>
      <c r="W20" s="528">
        <f>'Assessment Issue Scoring'!E213</f>
        <v>0</v>
      </c>
      <c r="X20" s="598">
        <f>IF('Assessment Issue Scoring'!T4=AIS_Yes,('Assessment Issue Scoring'!G198+'Assessment Issue Scoring'!G200+Poeng!Y20),('Assessment Issue Scoring'!G198+'Assessment Issue Scoring'!G200))</f>
        <v>0</v>
      </c>
      <c r="Y20" s="304">
        <f>IF('Assessment Issue Scoring'!T4=AIS_Yes,'Assessment Issue Scoring'!AI200-'Assessment Issue Scoring'!G200,0)</f>
        <v>0</v>
      </c>
      <c r="AA20" s="469"/>
      <c r="AB20" s="315"/>
      <c r="AC20" s="483">
        <v>2</v>
      </c>
      <c r="AD20" s="315">
        <v>3</v>
      </c>
      <c r="AE20" s="320">
        <v>3</v>
      </c>
      <c r="AF20" s="267"/>
      <c r="AG20" s="469"/>
      <c r="AH20" s="315"/>
      <c r="AI20" s="483">
        <v>2</v>
      </c>
      <c r="AJ20" s="315">
        <v>3</v>
      </c>
      <c r="AK20" s="320">
        <v>3</v>
      </c>
      <c r="AM20" s="316"/>
      <c r="AN20" s="317"/>
      <c r="AO20" s="317">
        <f>IF($D$5=$G$8,AI20,AC20)</f>
        <v>2</v>
      </c>
      <c r="AP20" s="317">
        <f>IF($D$5=$G$8,AJ20,AD20)</f>
        <v>3</v>
      </c>
      <c r="AQ20" s="309">
        <f>IF($D$5=$G$8,AK20,AE20)</f>
        <v>3</v>
      </c>
      <c r="AR20" s="316">
        <f>IF(AQ20=0,9,IF(X20&gt;=AQ20,5,IF(X20&gt;=AP20,4,IF(X20&gt;=AO20,3,IF(X20&gt;=AN20,2,IF(X20&lt;AM20,0,1))))))</f>
        <v>2</v>
      </c>
      <c r="AS20" s="299" t="str">
        <f t="shared" si="12"/>
        <v>Good</v>
      </c>
      <c r="AT20" s="319"/>
      <c r="AU20" s="316">
        <f t="shared" si="13"/>
        <v>2</v>
      </c>
      <c r="AV20" s="299" t="str">
        <f t="shared" si="14"/>
        <v>Good</v>
      </c>
      <c r="AW20" s="319"/>
      <c r="AX20" s="316">
        <f t="shared" si="15"/>
        <v>2</v>
      </c>
      <c r="AY20" s="299" t="str">
        <f t="shared" si="16"/>
        <v>Good</v>
      </c>
      <c r="AZ20" s="319"/>
      <c r="BD20" s="298" t="s">
        <v>100</v>
      </c>
      <c r="BE20" s="299" t="s">
        <v>100</v>
      </c>
      <c r="BF20" s="299">
        <f>VLOOKUP($BD20,$C$9:$AY$104,AR$1,FALSE)</f>
        <v>0</v>
      </c>
      <c r="BG20" s="299">
        <f>VLOOKUP($BD20,$C$9:$AY$104,AU$1,FALSE)</f>
        <v>0</v>
      </c>
      <c r="BH20" s="319">
        <f>VLOOKUP($BD20,$C$9:$AY$104,AX$1,FALSE)</f>
        <v>0</v>
      </c>
    </row>
    <row r="21" spans="1:61" x14ac:dyDescent="0.25">
      <c r="A21" s="529">
        <v>14</v>
      </c>
      <c r="B21" s="529"/>
      <c r="C21" s="363" t="s">
        <v>127</v>
      </c>
      <c r="D21" s="374" t="s">
        <v>118</v>
      </c>
      <c r="E21" s="312">
        <v>2</v>
      </c>
      <c r="F21" s="312">
        <v>2</v>
      </c>
      <c r="G21" s="312">
        <v>2</v>
      </c>
      <c r="H21" s="312">
        <v>2</v>
      </c>
      <c r="I21" s="313">
        <v>2</v>
      </c>
      <c r="K21" s="362">
        <f t="shared" si="11"/>
        <v>2</v>
      </c>
      <c r="L21" s="363">
        <f>IF(AND(ADBT0=ADBT1,ADIND_option03=AD_no),Poeng!K21,0)</f>
        <v>0</v>
      </c>
      <c r="M21" s="299"/>
      <c r="N21" s="299"/>
      <c r="O21" s="299">
        <f>'Manuell filtrering og justering'!D19</f>
        <v>0</v>
      </c>
      <c r="P21" s="300">
        <f>VLOOKUP(C21,'Manuell filtrering og justering'!$A$7:$G$97,'Manuell filtrering og justering'!$G$1,FALSE)</f>
        <v>2</v>
      </c>
      <c r="Q21" s="301">
        <f t="shared" si="17"/>
        <v>0</v>
      </c>
      <c r="R21" s="302">
        <f>IF($S$4='Manuell filtrering og justering'!$I$2,P21,(K21-Q21))</f>
        <v>2</v>
      </c>
      <c r="T21" s="303">
        <f>(Hea_Weight/Hea_Credits)*Hea03_credits</f>
        <v>1.4999999999999999E-2</v>
      </c>
      <c r="U21" s="303">
        <f>IF(R21=0,0,(Hea03_09/Hea03_credits)*Hea03_user)</f>
        <v>0</v>
      </c>
      <c r="W21" s="528">
        <f>'Assessment Issue Scoring'!E238</f>
        <v>0</v>
      </c>
      <c r="X21" s="304"/>
      <c r="Y21" s="304"/>
      <c r="AA21" s="470"/>
      <c r="AB21" s="471"/>
      <c r="AC21" s="471"/>
      <c r="AD21" s="471"/>
      <c r="AE21" s="472"/>
      <c r="AF21" s="267"/>
      <c r="AG21" s="470"/>
      <c r="AH21" s="471"/>
      <c r="AI21" s="471"/>
      <c r="AJ21" s="471"/>
      <c r="AK21" s="472"/>
      <c r="AM21" s="322"/>
      <c r="AN21" s="323"/>
      <c r="AO21" s="323"/>
      <c r="AP21" s="323"/>
      <c r="AQ21" s="324">
        <f>IF($D$5=$G$8,AK21,AE21)</f>
        <v>0</v>
      </c>
      <c r="AR21" s="316">
        <f t="shared" si="10"/>
        <v>9</v>
      </c>
      <c r="AS21" s="299" t="str">
        <f t="shared" si="12"/>
        <v>N/A</v>
      </c>
      <c r="AT21" s="319"/>
      <c r="AU21" s="316">
        <f t="shared" si="13"/>
        <v>9</v>
      </c>
      <c r="AV21" s="299" t="str">
        <f t="shared" si="14"/>
        <v>N/A</v>
      </c>
      <c r="AW21" s="319"/>
      <c r="AX21" s="316">
        <f t="shared" si="15"/>
        <v>9</v>
      </c>
      <c r="AY21" s="299" t="str">
        <f t="shared" si="16"/>
        <v>N/A</v>
      </c>
      <c r="AZ21" s="319"/>
      <c r="BD21" s="298" t="s">
        <v>101</v>
      </c>
      <c r="BE21" s="299" t="s">
        <v>101</v>
      </c>
      <c r="BF21" s="299">
        <f>VLOOKUP($BD21,$C$9:$AY$104,AR$1,FALSE)</f>
        <v>3</v>
      </c>
      <c r="BG21" s="299">
        <f>VLOOKUP($BD21,$C$9:$AY$104,AU$1,FALSE)</f>
        <v>3</v>
      </c>
      <c r="BH21" s="319">
        <f>VLOOKUP($BD21,$C$9:$AY$104,AX$1,FALSE)</f>
        <v>3</v>
      </c>
    </row>
    <row r="22" spans="1:61" x14ac:dyDescent="0.25">
      <c r="A22" s="529">
        <v>15</v>
      </c>
      <c r="B22" s="529"/>
      <c r="C22" s="363" t="s">
        <v>128</v>
      </c>
      <c r="D22" s="374" t="s">
        <v>119</v>
      </c>
      <c r="E22" s="312">
        <v>1</v>
      </c>
      <c r="F22" s="312">
        <v>1</v>
      </c>
      <c r="G22" s="312">
        <v>1</v>
      </c>
      <c r="H22" s="312">
        <v>1</v>
      </c>
      <c r="I22" s="313">
        <v>1</v>
      </c>
      <c r="K22" s="362">
        <f t="shared" si="11"/>
        <v>1</v>
      </c>
      <c r="L22" s="298"/>
      <c r="M22" s="299"/>
      <c r="N22" s="299"/>
      <c r="O22" s="299">
        <f>'Manuell filtrering og justering'!D20</f>
        <v>0</v>
      </c>
      <c r="P22" s="300">
        <f>VLOOKUP(C22,'Manuell filtrering og justering'!$A$7:$G$97,'Manuell filtrering og justering'!$G$1,FALSE)</f>
        <v>1</v>
      </c>
      <c r="Q22" s="301">
        <f t="shared" si="17"/>
        <v>0</v>
      </c>
      <c r="R22" s="302">
        <f>IF($S$4='Manuell filtrering og justering'!$I$2,P22,(K22-Q22))</f>
        <v>1</v>
      </c>
      <c r="T22" s="303">
        <f>(Hea_Weight/Hea_Credits)*Hea04_credits</f>
        <v>7.4999999999999997E-3</v>
      </c>
      <c r="U22" s="303">
        <f>IF(R22=0,0,(Hea04_12/Hea04_credits)*Hea04_user)</f>
        <v>0</v>
      </c>
      <c r="W22" s="528">
        <f>'Assessment Issue Scoring'!E259</f>
        <v>0</v>
      </c>
      <c r="X22" s="304"/>
      <c r="Y22" s="304"/>
      <c r="AA22" s="470"/>
      <c r="AB22" s="471"/>
      <c r="AC22" s="471"/>
      <c r="AD22" s="471"/>
      <c r="AE22" s="472"/>
      <c r="AF22" s="267"/>
      <c r="AG22" s="470"/>
      <c r="AH22" s="471"/>
      <c r="AI22" s="471"/>
      <c r="AJ22" s="471"/>
      <c r="AK22" s="472"/>
      <c r="AM22" s="322"/>
      <c r="AN22" s="323"/>
      <c r="AO22" s="323"/>
      <c r="AP22" s="323"/>
      <c r="AQ22" s="324">
        <f>IF($D$5=$G$8,AK22,AE22)</f>
        <v>0</v>
      </c>
      <c r="AR22" s="316">
        <f t="shared" si="10"/>
        <v>9</v>
      </c>
      <c r="AS22" s="299" t="str">
        <f t="shared" si="12"/>
        <v>N/A</v>
      </c>
      <c r="AT22" s="319"/>
      <c r="AU22" s="316">
        <f t="shared" si="13"/>
        <v>9</v>
      </c>
      <c r="AV22" s="299" t="str">
        <f t="shared" si="14"/>
        <v>N/A</v>
      </c>
      <c r="AW22" s="319"/>
      <c r="AX22" s="316">
        <f t="shared" si="15"/>
        <v>9</v>
      </c>
      <c r="AY22" s="299" t="str">
        <f t="shared" si="16"/>
        <v>N/A</v>
      </c>
      <c r="AZ22" s="319"/>
      <c r="BC22" s="386"/>
      <c r="BD22" s="298" t="s">
        <v>48</v>
      </c>
      <c r="BE22" s="299" t="s">
        <v>125</v>
      </c>
      <c r="BF22" s="299">
        <f>VLOOKUP($BD22,$C$9:$AY$104,AR$1,FALSE)</f>
        <v>0</v>
      </c>
      <c r="BG22" s="299">
        <f>VLOOKUP($BD22,$C$9:$AY$104,AU$1,FALSE)</f>
        <v>0</v>
      </c>
      <c r="BH22" s="319">
        <f>VLOOKUP($BD22,$C$9:$AY$104,AX$1,FALSE)</f>
        <v>0</v>
      </c>
    </row>
    <row r="23" spans="1:61" x14ac:dyDescent="0.25">
      <c r="A23" s="529">
        <v>16</v>
      </c>
      <c r="B23" s="529"/>
      <c r="C23" s="363" t="s">
        <v>129</v>
      </c>
      <c r="D23" s="374" t="s">
        <v>135</v>
      </c>
      <c r="E23" s="312">
        <v>2</v>
      </c>
      <c r="F23" s="312">
        <v>2</v>
      </c>
      <c r="G23" s="312">
        <v>4</v>
      </c>
      <c r="H23" s="312">
        <v>2</v>
      </c>
      <c r="I23" s="313">
        <v>2</v>
      </c>
      <c r="K23" s="362">
        <f t="shared" si="11"/>
        <v>2</v>
      </c>
      <c r="L23" s="298"/>
      <c r="M23" s="299"/>
      <c r="N23" s="299"/>
      <c r="O23" s="299">
        <f>'Manuell filtrering og justering'!D21</f>
        <v>0</v>
      </c>
      <c r="P23" s="300">
        <f>VLOOKUP(C23,'Manuell filtrering og justering'!$A$7:$G$97,'Manuell filtrering og justering'!$G$1,FALSE)</f>
        <v>2</v>
      </c>
      <c r="Q23" s="301">
        <f t="shared" si="17"/>
        <v>0</v>
      </c>
      <c r="R23" s="302">
        <f>IF($S$4='Manuell filtrering og justering'!$I$2,P23,(K23-Q23))</f>
        <v>2</v>
      </c>
      <c r="T23" s="303">
        <f>(Hea_Weight/Hea_Credits)*Hea05_credits</f>
        <v>1.4999999999999999E-2</v>
      </c>
      <c r="U23" s="303">
        <f>IF(R23=0,0,(Hea05_07/Hea05_credits)*Hea05_user)</f>
        <v>0</v>
      </c>
      <c r="W23" s="528">
        <f>'Assessment Issue Scoring'!E281</f>
        <v>0</v>
      </c>
      <c r="X23" s="304"/>
      <c r="Y23" s="304"/>
      <c r="AA23" s="470"/>
      <c r="AB23" s="471"/>
      <c r="AC23" s="471"/>
      <c r="AD23" s="471"/>
      <c r="AE23" s="472"/>
      <c r="AF23" s="267"/>
      <c r="AG23" s="470"/>
      <c r="AH23" s="471"/>
      <c r="AI23" s="471"/>
      <c r="AJ23" s="471"/>
      <c r="AK23" s="472"/>
      <c r="AM23" s="322"/>
      <c r="AN23" s="323"/>
      <c r="AO23" s="323"/>
      <c r="AP23" s="323"/>
      <c r="AQ23" s="324">
        <f t="shared" si="1"/>
        <v>0</v>
      </c>
      <c r="AR23" s="316">
        <f t="shared" si="10"/>
        <v>9</v>
      </c>
      <c r="AS23" s="299" t="str">
        <f t="shared" si="12"/>
        <v>N/A</v>
      </c>
      <c r="AT23" s="319"/>
      <c r="AU23" s="316">
        <f t="shared" si="13"/>
        <v>9</v>
      </c>
      <c r="AV23" s="299" t="str">
        <f t="shared" si="14"/>
        <v>N/A</v>
      </c>
      <c r="AW23" s="319"/>
      <c r="AX23" s="316">
        <f t="shared" si="15"/>
        <v>9</v>
      </c>
      <c r="AY23" s="299" t="str">
        <f t="shared" si="16"/>
        <v>N/A</v>
      </c>
      <c r="AZ23" s="319"/>
      <c r="BC23" s="386"/>
      <c r="BD23" s="298" t="s">
        <v>126</v>
      </c>
      <c r="BE23" s="299" t="s">
        <v>126</v>
      </c>
      <c r="BF23" s="299">
        <f>VLOOKUP($BD23,$C$9:$AY$104,AR$1,FALSE)</f>
        <v>2</v>
      </c>
      <c r="BG23" s="299">
        <f>VLOOKUP($BD23,$C$9:$AY$104,AU$1,FALSE)</f>
        <v>2</v>
      </c>
      <c r="BH23" s="319">
        <f>VLOOKUP($BD23,$C$9:$AY$104,AX$1,FALSE)</f>
        <v>2</v>
      </c>
    </row>
    <row r="24" spans="1:61" x14ac:dyDescent="0.25">
      <c r="A24" s="529">
        <v>17</v>
      </c>
      <c r="B24" s="529"/>
      <c r="C24" s="363" t="s">
        <v>130</v>
      </c>
      <c r="D24" s="374" t="s">
        <v>120</v>
      </c>
      <c r="E24" s="312">
        <v>2</v>
      </c>
      <c r="F24" s="312">
        <v>2</v>
      </c>
      <c r="G24" s="312">
        <v>3</v>
      </c>
      <c r="H24" s="312">
        <v>2</v>
      </c>
      <c r="I24" s="313">
        <v>2</v>
      </c>
      <c r="K24" s="362">
        <f t="shared" si="11"/>
        <v>2</v>
      </c>
      <c r="L24" s="363">
        <f>IF(AD_SiteAccess=AD_no,K24,0)</f>
        <v>0</v>
      </c>
      <c r="M24" s="299"/>
      <c r="N24" s="299"/>
      <c r="O24" s="299">
        <f>'Manuell filtrering og justering'!D22</f>
        <v>0</v>
      </c>
      <c r="P24" s="300">
        <f>VLOOKUP(C24,'Manuell filtrering og justering'!$A$7:$G$97,'Manuell filtrering og justering'!$G$1,FALSE)</f>
        <v>2</v>
      </c>
      <c r="Q24" s="301">
        <f t="shared" si="17"/>
        <v>0</v>
      </c>
      <c r="R24" s="302">
        <f>IF($S$4='Manuell filtrering og justering'!$I$2,P24,(K24-Q24))</f>
        <v>2</v>
      </c>
      <c r="T24" s="303">
        <f>(Hea_Weight/Hea_Credits)*Hea06_credits</f>
        <v>1.4999999999999999E-2</v>
      </c>
      <c r="U24" s="303">
        <f>IF(R24=0,0,(Hea06_07/Hea06_credits)*Hea06_user)</f>
        <v>0</v>
      </c>
      <c r="W24" s="528">
        <f>'Assessment Issue Scoring'!E303</f>
        <v>0</v>
      </c>
      <c r="X24" s="304"/>
      <c r="Y24" s="304"/>
      <c r="AA24" s="470"/>
      <c r="AB24" s="471"/>
      <c r="AC24" s="471"/>
      <c r="AD24" s="471"/>
      <c r="AE24" s="472"/>
      <c r="AF24" s="267"/>
      <c r="AG24" s="470"/>
      <c r="AH24" s="471"/>
      <c r="AI24" s="471"/>
      <c r="AJ24" s="471"/>
      <c r="AK24" s="472"/>
      <c r="AM24" s="322"/>
      <c r="AN24" s="323"/>
      <c r="AO24" s="323"/>
      <c r="AP24" s="323"/>
      <c r="AQ24" s="324">
        <f t="shared" si="1"/>
        <v>0</v>
      </c>
      <c r="AR24" s="316">
        <f t="shared" si="10"/>
        <v>9</v>
      </c>
      <c r="AS24" s="299" t="str">
        <f t="shared" si="12"/>
        <v>N/A</v>
      </c>
      <c r="AT24" s="319"/>
      <c r="AU24" s="316">
        <f t="shared" si="13"/>
        <v>9</v>
      </c>
      <c r="AV24" s="299" t="str">
        <f t="shared" si="14"/>
        <v>N/A</v>
      </c>
      <c r="AW24" s="319"/>
      <c r="AX24" s="316">
        <f t="shared" si="15"/>
        <v>9</v>
      </c>
      <c r="AY24" s="299" t="str">
        <f t="shared" si="16"/>
        <v>N/A</v>
      </c>
      <c r="AZ24" s="319"/>
      <c r="BC24" s="386"/>
      <c r="BD24" s="298" t="s">
        <v>132</v>
      </c>
      <c r="BE24" s="299" t="str">
        <f>IF(D5&lt;&gt;G8,"","Hea 08")</f>
        <v/>
      </c>
      <c r="BF24" s="299" t="str">
        <f>IF(D5&lt;&gt;G8,"",VLOOKUP($BD24,$C$9:$AY$104,AR$1,FALSE))</f>
        <v/>
      </c>
      <c r="BG24" s="299" t="str">
        <f>IF(D5&lt;&gt;G8,"",VLOOKUP($BD24,$C$9:$AY$104,AR$1,FALSE))</f>
        <v/>
      </c>
      <c r="BH24" s="319" t="str">
        <f>IF(D5&lt;&gt;G8,"",VLOOKUP($BD24,$C$9:$AY$104,AR$1,FALSE))</f>
        <v/>
      </c>
      <c r="BI24" s="364" t="s">
        <v>342</v>
      </c>
    </row>
    <row r="25" spans="1:61" x14ac:dyDescent="0.25">
      <c r="A25" s="529">
        <v>18</v>
      </c>
      <c r="B25" s="529"/>
      <c r="C25" s="363" t="s">
        <v>131</v>
      </c>
      <c r="D25" s="374" t="s">
        <v>121</v>
      </c>
      <c r="E25" s="312">
        <v>1</v>
      </c>
      <c r="F25" s="312">
        <v>1</v>
      </c>
      <c r="G25" s="312">
        <v>1</v>
      </c>
      <c r="H25" s="312">
        <v>1</v>
      </c>
      <c r="I25" s="313">
        <v>1</v>
      </c>
      <c r="K25" s="362">
        <f t="shared" si="11"/>
        <v>1</v>
      </c>
      <c r="L25" s="363">
        <f>IF(AD_NaturalHazards='Assessment Details'!L52,Poeng!K25,0)</f>
        <v>0</v>
      </c>
      <c r="M25" s="299"/>
      <c r="N25" s="299"/>
      <c r="O25" s="299">
        <f>'Manuell filtrering og justering'!D23</f>
        <v>0</v>
      </c>
      <c r="P25" s="300">
        <f>VLOOKUP(C25,'Manuell filtrering og justering'!$A$7:$G$97,'Manuell filtrering og justering'!$G$1,FALSE)</f>
        <v>1</v>
      </c>
      <c r="Q25" s="301">
        <f t="shared" si="17"/>
        <v>0</v>
      </c>
      <c r="R25" s="302">
        <f>IF($S$4='Manuell filtrering og justering'!$I$2,(P25-L25),(K25-Q25))</f>
        <v>1</v>
      </c>
      <c r="T25" s="303">
        <f>(Hea_Weight/Hea_Credits)*Hea07_Credits</f>
        <v>7.4999999999999997E-3</v>
      </c>
      <c r="U25" s="303">
        <f>IF(R25=0,0,(Hea07_07/Hea07_Credits)*Hea07_user)</f>
        <v>0</v>
      </c>
      <c r="W25" s="528">
        <f>'Assessment Issue Scoring'!E323</f>
        <v>0</v>
      </c>
      <c r="X25" s="304"/>
      <c r="Y25" s="304"/>
      <c r="AA25" s="470"/>
      <c r="AB25" s="471"/>
      <c r="AC25" s="471"/>
      <c r="AD25" s="471"/>
      <c r="AE25" s="472"/>
      <c r="AF25" s="267"/>
      <c r="AG25" s="470"/>
      <c r="AH25" s="471"/>
      <c r="AI25" s="471"/>
      <c r="AJ25" s="471"/>
      <c r="AK25" s="472"/>
      <c r="AM25" s="322"/>
      <c r="AN25" s="323"/>
      <c r="AO25" s="323"/>
      <c r="AP25" s="323"/>
      <c r="AQ25" s="324">
        <f t="shared" si="1"/>
        <v>0</v>
      </c>
      <c r="AR25" s="316">
        <f t="shared" si="10"/>
        <v>9</v>
      </c>
      <c r="AS25" s="299" t="str">
        <f t="shared" si="12"/>
        <v>N/A</v>
      </c>
      <c r="AT25" s="319"/>
      <c r="AU25" s="316">
        <f t="shared" si="13"/>
        <v>9</v>
      </c>
      <c r="AV25" s="299" t="str">
        <f t="shared" si="14"/>
        <v>N/A</v>
      </c>
      <c r="AW25" s="319"/>
      <c r="AX25" s="316">
        <f t="shared" si="15"/>
        <v>9</v>
      </c>
      <c r="AY25" s="299" t="str">
        <f t="shared" si="16"/>
        <v>N/A</v>
      </c>
      <c r="AZ25" s="319"/>
      <c r="BC25" s="386"/>
      <c r="BD25" s="322" t="s">
        <v>133</v>
      </c>
      <c r="BE25" s="299" t="s">
        <v>133</v>
      </c>
      <c r="BF25" s="299">
        <f>VLOOKUP($BD25,$C$9:$AY$104,AR$1,FALSE)</f>
        <v>2</v>
      </c>
      <c r="BG25" s="299">
        <f>VLOOKUP($BD25,$C$9:$AY$104,AU$1,FALSE)</f>
        <v>2</v>
      </c>
      <c r="BH25" s="319">
        <f>VLOOKUP($BD25,$C$9:$AY$104,AX$1,FALSE)</f>
        <v>2</v>
      </c>
    </row>
    <row r="26" spans="1:61" x14ac:dyDescent="0.25">
      <c r="A26" s="529">
        <v>19</v>
      </c>
      <c r="B26" s="529"/>
      <c r="C26" s="363" t="s">
        <v>132</v>
      </c>
      <c r="D26" s="374" t="s">
        <v>124</v>
      </c>
      <c r="E26" s="312"/>
      <c r="F26" s="312"/>
      <c r="G26" s="312">
        <v>1</v>
      </c>
      <c r="H26" s="312"/>
      <c r="I26" s="313"/>
      <c r="K26" s="362">
        <f t="shared" si="11"/>
        <v>0</v>
      </c>
      <c r="L26" s="298"/>
      <c r="M26" s="299"/>
      <c r="N26" s="299"/>
      <c r="O26" s="299">
        <f>'Manuell filtrering og justering'!D24</f>
        <v>0</v>
      </c>
      <c r="P26" s="300">
        <f>VLOOKUP(C26,'Manuell filtrering og justering'!$A$7:$G$97,'Manuell filtrering og justering'!$G$1,FALSE)</f>
        <v>0</v>
      </c>
      <c r="Q26" s="301">
        <f t="shared" si="17"/>
        <v>0</v>
      </c>
      <c r="R26" s="302">
        <f>IF($S$4='Manuell filtrering og justering'!$I$2,P26,(K26-Q26))</f>
        <v>0</v>
      </c>
      <c r="T26" s="303">
        <f>(Hea_Weight/Hea_Credits)*Hea08_Credits</f>
        <v>0</v>
      </c>
      <c r="U26" s="303">
        <f>IFERROR((Hea08_07/Hea08_Credits)*Hea08_user,0)</f>
        <v>0</v>
      </c>
      <c r="W26" s="528">
        <f>'Assessment Issue Scoring'!E344</f>
        <v>0</v>
      </c>
      <c r="X26" s="598">
        <f>'Assessment Issue Scoring'!E344</f>
        <v>0</v>
      </c>
      <c r="Y26" s="304"/>
      <c r="AA26" s="469"/>
      <c r="AB26" s="315"/>
      <c r="AC26" s="315"/>
      <c r="AD26" s="315"/>
      <c r="AE26" s="320"/>
      <c r="AF26" s="267"/>
      <c r="AG26" s="469"/>
      <c r="AH26" s="315"/>
      <c r="AI26" s="315"/>
      <c r="AJ26" s="315"/>
      <c r="AK26" s="320">
        <v>1</v>
      </c>
      <c r="AM26" s="316"/>
      <c r="AN26" s="317"/>
      <c r="AO26" s="317"/>
      <c r="AP26" s="317"/>
      <c r="AQ26" s="321">
        <f t="shared" si="1"/>
        <v>0</v>
      </c>
      <c r="AR26" s="316">
        <f>IF(AQ26=0,9,IF(X26&gt;=AQ26,5,IF(X26&gt;=AP26,4,IF(X26&gt;=AO26,3,IF(X26&gt;=AN26,2,IF(X26&lt;AM26,0,1))))))</f>
        <v>9</v>
      </c>
      <c r="AS26" s="299" t="str">
        <f t="shared" si="12"/>
        <v>N/A</v>
      </c>
      <c r="AT26" s="319"/>
      <c r="AU26" s="316">
        <f t="shared" si="13"/>
        <v>9</v>
      </c>
      <c r="AV26" s="299" t="str">
        <f t="shared" si="14"/>
        <v>N/A</v>
      </c>
      <c r="AW26" s="319"/>
      <c r="AX26" s="316">
        <f t="shared" si="15"/>
        <v>9</v>
      </c>
      <c r="AY26" s="299" t="str">
        <f t="shared" si="16"/>
        <v>N/A</v>
      </c>
      <c r="AZ26" s="319"/>
      <c r="BC26" s="386"/>
      <c r="BD26" s="298" t="s">
        <v>146</v>
      </c>
      <c r="BE26" s="299" t="s">
        <v>146</v>
      </c>
      <c r="BF26" s="299">
        <f>VLOOKUP($BD26,$C$9:$AY$104,AR$1,FALSE)</f>
        <v>3</v>
      </c>
      <c r="BG26" s="299">
        <f>VLOOKUP($BD26,$C$9:$AY$104,AU$1,FALSE)</f>
        <v>3</v>
      </c>
      <c r="BH26" s="319">
        <f>VLOOKUP($BD26,$C$9:$AY$104,AX$1,FALSE)</f>
        <v>3</v>
      </c>
      <c r="BI26" s="364"/>
    </row>
    <row r="27" spans="1:61" ht="15.75" thickBot="1" x14ac:dyDescent="0.3">
      <c r="A27" s="529">
        <v>20</v>
      </c>
      <c r="B27" s="529"/>
      <c r="C27" s="602" t="s">
        <v>133</v>
      </c>
      <c r="D27" s="603" t="s">
        <v>122</v>
      </c>
      <c r="E27" s="328">
        <v>3</v>
      </c>
      <c r="F27" s="328">
        <v>3</v>
      </c>
      <c r="G27" s="328">
        <v>3</v>
      </c>
      <c r="H27" s="328">
        <v>3</v>
      </c>
      <c r="I27" s="329">
        <v>3</v>
      </c>
      <c r="K27" s="365">
        <f t="shared" si="11"/>
        <v>3</v>
      </c>
      <c r="L27" s="298"/>
      <c r="M27" s="299"/>
      <c r="N27" s="299"/>
      <c r="O27" s="299">
        <f>'Manuell filtrering og justering'!D25</f>
        <v>0</v>
      </c>
      <c r="P27" s="300">
        <f>VLOOKUP(C27,'Manuell filtrering og justering'!$A$7:$G$97,'Manuell filtrering og justering'!$G$1,FALSE)</f>
        <v>3</v>
      </c>
      <c r="Q27" s="301">
        <f t="shared" si="17"/>
        <v>0</v>
      </c>
      <c r="R27" s="302">
        <f>IF($S$4='Manuell filtrering og justering'!$I$2,P27,(K27-Q27))</f>
        <v>3</v>
      </c>
      <c r="T27" s="303">
        <f>(Hea_Weight/Hea_Credits)*Hea09_Credits</f>
        <v>2.2499999999999999E-2</v>
      </c>
      <c r="U27" s="303">
        <f>(T27/Hea09_Credits)*W27</f>
        <v>0</v>
      </c>
      <c r="W27" s="528">
        <f>'Assessment Issue Scoring'!E367</f>
        <v>0</v>
      </c>
      <c r="X27" s="304"/>
      <c r="Y27" s="304"/>
      <c r="AA27" s="479"/>
      <c r="AB27" s="480"/>
      <c r="AC27" s="480">
        <v>1</v>
      </c>
      <c r="AD27" s="480">
        <v>1</v>
      </c>
      <c r="AE27" s="481">
        <v>1</v>
      </c>
      <c r="AF27" s="267"/>
      <c r="AG27" s="479"/>
      <c r="AH27" s="480"/>
      <c r="AI27" s="480">
        <v>1</v>
      </c>
      <c r="AJ27" s="480">
        <v>1</v>
      </c>
      <c r="AK27" s="481">
        <v>1</v>
      </c>
      <c r="AM27" s="337"/>
      <c r="AN27" s="366"/>
      <c r="AO27" s="366">
        <f t="shared" ref="AO27" si="18">IF($D$5=$G$8,AI27,AC27)</f>
        <v>1</v>
      </c>
      <c r="AP27" s="366">
        <f t="shared" ref="AP27" si="19">IF($D$5=$G$8,AJ27,AD27)</f>
        <v>1</v>
      </c>
      <c r="AQ27" s="367">
        <f t="shared" si="1"/>
        <v>1</v>
      </c>
      <c r="AR27" s="337">
        <f t="shared" si="10"/>
        <v>2</v>
      </c>
      <c r="AS27" s="338" t="str">
        <f t="shared" si="12"/>
        <v>Good</v>
      </c>
      <c r="AT27" s="339"/>
      <c r="AU27" s="337">
        <f t="shared" si="13"/>
        <v>2</v>
      </c>
      <c r="AV27" s="338" t="str">
        <f t="shared" si="14"/>
        <v>Good</v>
      </c>
      <c r="AW27" s="339"/>
      <c r="AX27" s="337">
        <f t="shared" si="15"/>
        <v>2</v>
      </c>
      <c r="AY27" s="338" t="str">
        <f t="shared" si="16"/>
        <v>Good</v>
      </c>
      <c r="AZ27" s="339"/>
      <c r="BC27" s="386"/>
      <c r="BD27" s="298" t="s">
        <v>147</v>
      </c>
      <c r="BE27" s="299" t="str">
        <f>IF(D5=G8,"","Ene 02")</f>
        <v>Ene 02</v>
      </c>
      <c r="BF27" s="299">
        <f>IF(D5=G8,"",VLOOKUP($BD27,$C$9:$AY$104,AR$1,FALSE))</f>
        <v>2</v>
      </c>
      <c r="BG27" s="299">
        <f>IF(D5=G8,"",VLOOKUP($BD27,$C$9:$AY$104,AU$1,FALSE))</f>
        <v>2</v>
      </c>
      <c r="BH27" s="319">
        <f>IF(D5=G8,"",VLOOKUP($BD27,$C$9:$AY$104,AX$1,FALSE))</f>
        <v>2</v>
      </c>
      <c r="BI27" s="364" t="s">
        <v>341</v>
      </c>
    </row>
    <row r="28" spans="1:61" ht="15.75" thickBot="1" x14ac:dyDescent="0.3">
      <c r="A28" s="529">
        <v>21</v>
      </c>
      <c r="C28" s="340"/>
      <c r="D28" s="341" t="s">
        <v>231</v>
      </c>
      <c r="E28" s="341">
        <f>SUM(E19:E27)</f>
        <v>22</v>
      </c>
      <c r="F28" s="341">
        <f t="shared" ref="F28:I28" si="20">SUM(F19:F27)</f>
        <v>22</v>
      </c>
      <c r="G28" s="341">
        <f t="shared" si="20"/>
        <v>24</v>
      </c>
      <c r="H28" s="341">
        <f t="shared" si="20"/>
        <v>22</v>
      </c>
      <c r="I28" s="342">
        <f t="shared" si="20"/>
        <v>22</v>
      </c>
      <c r="K28" s="368">
        <f t="shared" si="11"/>
        <v>22</v>
      </c>
      <c r="L28" s="344"/>
      <c r="M28" s="345"/>
      <c r="N28" s="345"/>
      <c r="O28" s="345"/>
      <c r="P28" s="346"/>
      <c r="Q28" s="347">
        <f>SUM(Q19:Q27)</f>
        <v>2</v>
      </c>
      <c r="R28" s="369">
        <f>SUM(R19:R27)</f>
        <v>20</v>
      </c>
      <c r="T28" s="349">
        <f>SUM(T19:T27)</f>
        <v>0.15</v>
      </c>
      <c r="U28" s="349">
        <f>SUM(U19:U27)</f>
        <v>0</v>
      </c>
      <c r="W28" s="25">
        <f>SUM(W19:W27)</f>
        <v>0</v>
      </c>
      <c r="X28" s="25">
        <f t="shared" ref="X28:Y28" si="21">SUM(X19:X27)</f>
        <v>0</v>
      </c>
      <c r="Y28" s="25">
        <f t="shared" si="21"/>
        <v>0</v>
      </c>
      <c r="AA28" s="267"/>
      <c r="AB28" s="267"/>
      <c r="AC28" s="267"/>
      <c r="AD28" s="267"/>
      <c r="AE28" s="267"/>
      <c r="AF28" s="267"/>
      <c r="AG28" s="267"/>
      <c r="AH28" s="267"/>
      <c r="AI28" s="267"/>
      <c r="AJ28" s="267"/>
      <c r="AK28" s="267"/>
      <c r="AM28" s="178"/>
      <c r="AN28" s="350"/>
      <c r="AO28" s="178"/>
      <c r="AP28" s="178"/>
      <c r="AQ28" s="178"/>
      <c r="BC28" s="386"/>
      <c r="BD28" s="298" t="s">
        <v>149</v>
      </c>
      <c r="BE28" s="299" t="s">
        <v>149</v>
      </c>
      <c r="BF28" s="299">
        <f t="shared" ref="BF28:BF34" si="22">VLOOKUP($BD28,$C$9:$AY$104,AR$1,FALSE)</f>
        <v>3</v>
      </c>
      <c r="BG28" s="299">
        <f t="shared" ref="BG28:BG34" si="23">VLOOKUP($BD28,$C$9:$AY$104,AU$1,FALSE)</f>
        <v>3</v>
      </c>
      <c r="BH28" s="319">
        <f t="shared" ref="BH28:BH34" si="24">VLOOKUP($BD28,$C$9:$AY$104,AX$1,FALSE)</f>
        <v>3</v>
      </c>
    </row>
    <row r="29" spans="1:61" ht="15.75" thickBot="1" x14ac:dyDescent="0.3">
      <c r="A29" s="529">
        <v>22</v>
      </c>
      <c r="W29" s="3"/>
      <c r="X29" s="3"/>
      <c r="Y29" s="3"/>
      <c r="AA29" s="267"/>
      <c r="AB29" s="267"/>
      <c r="AC29" s="267"/>
      <c r="AD29" s="267"/>
      <c r="AE29" s="267"/>
      <c r="AF29" s="267"/>
      <c r="AG29" s="267"/>
      <c r="AH29" s="267"/>
      <c r="AI29" s="267"/>
      <c r="AJ29" s="267"/>
      <c r="AK29" s="267"/>
      <c r="AM29" s="178"/>
      <c r="AN29" s="178"/>
      <c r="AO29" s="178"/>
      <c r="AP29" s="178"/>
      <c r="AQ29" s="178"/>
      <c r="BC29" s="386"/>
      <c r="BD29" s="298" t="s">
        <v>155</v>
      </c>
      <c r="BE29" s="299" t="s">
        <v>155</v>
      </c>
      <c r="BF29" s="299">
        <f t="shared" si="22"/>
        <v>4</v>
      </c>
      <c r="BG29" s="299">
        <f t="shared" si="23"/>
        <v>4</v>
      </c>
      <c r="BH29" s="319">
        <f t="shared" si="24"/>
        <v>4</v>
      </c>
    </row>
    <row r="30" spans="1:61" ht="15.75" thickBot="1" x14ac:dyDescent="0.3">
      <c r="A30" s="529">
        <v>23</v>
      </c>
      <c r="C30" s="274"/>
      <c r="D30" s="275" t="s">
        <v>70</v>
      </c>
      <c r="E30" s="276" t="str">
        <f>$E$8</f>
        <v>Office</v>
      </c>
      <c r="F30" s="276" t="str">
        <f>$F$8</f>
        <v>Retail</v>
      </c>
      <c r="G30" s="276" t="str">
        <f>$G$8</f>
        <v>Residential</v>
      </c>
      <c r="H30" s="276" t="str">
        <f>$H$8</f>
        <v>Industrial</v>
      </c>
      <c r="I30" s="277" t="str">
        <f>$I$8</f>
        <v>Education</v>
      </c>
      <c r="K30" s="266" t="str">
        <f>$D$5</f>
        <v>Office</v>
      </c>
      <c r="L30" s="351"/>
      <c r="M30" s="352"/>
      <c r="N30" s="352"/>
      <c r="O30" s="352"/>
      <c r="P30" s="756" t="s">
        <v>1167</v>
      </c>
      <c r="Q30" s="281" t="s">
        <v>231</v>
      </c>
      <c r="R30" s="266"/>
      <c r="W30" s="71"/>
      <c r="X30" s="93"/>
      <c r="Y30" s="93"/>
      <c r="AA30" s="267"/>
      <c r="AB30" s="267"/>
      <c r="AC30" s="267"/>
      <c r="AD30" s="267"/>
      <c r="AE30" s="267"/>
      <c r="AF30" s="267"/>
      <c r="AG30" s="267"/>
      <c r="AH30" s="267"/>
      <c r="AI30" s="267"/>
      <c r="AJ30" s="267"/>
      <c r="AK30" s="267"/>
      <c r="AM30" s="178"/>
      <c r="AN30" s="178"/>
      <c r="AO30" s="178"/>
      <c r="AP30" s="178"/>
      <c r="AQ30" s="178"/>
      <c r="BC30" s="386"/>
      <c r="BD30" s="298" t="s">
        <v>185</v>
      </c>
      <c r="BE30" s="299" t="s">
        <v>185</v>
      </c>
      <c r="BF30" s="299">
        <f t="shared" si="22"/>
        <v>3</v>
      </c>
      <c r="BG30" s="299">
        <f t="shared" si="23"/>
        <v>3</v>
      </c>
      <c r="BH30" s="319">
        <f t="shared" si="24"/>
        <v>3</v>
      </c>
    </row>
    <row r="31" spans="1:61" x14ac:dyDescent="0.25">
      <c r="A31" s="529">
        <v>24</v>
      </c>
      <c r="B31" s="529"/>
      <c r="C31" s="558" t="s">
        <v>146</v>
      </c>
      <c r="D31" s="559" t="s">
        <v>136</v>
      </c>
      <c r="E31" s="295">
        <v>12</v>
      </c>
      <c r="F31" s="295">
        <v>12</v>
      </c>
      <c r="G31" s="295">
        <v>12</v>
      </c>
      <c r="H31" s="295">
        <v>12</v>
      </c>
      <c r="I31" s="296">
        <v>12</v>
      </c>
      <c r="K31" s="370">
        <f t="shared" ref="K31:K41" si="25">HLOOKUP($D$5,$E$8:$I$99,$A31,FALSE)</f>
        <v>12</v>
      </c>
      <c r="L31" s="298"/>
      <c r="M31" s="299"/>
      <c r="N31" s="299"/>
      <c r="O31" s="299">
        <f>'Manuell filtrering og justering'!D29</f>
        <v>0</v>
      </c>
      <c r="P31" s="300">
        <f>VLOOKUP(C31,'Manuell filtrering og justering'!$A$7:$G$97,'Manuell filtrering og justering'!$G$1,FALSE)</f>
        <v>12</v>
      </c>
      <c r="Q31" s="301">
        <f>IF(SUM(L31:O31)&gt;K31,K31,SUM(L31:O31))</f>
        <v>0</v>
      </c>
      <c r="R31" s="302">
        <f>IF($S$4='Manuell filtrering og justering'!$I$2,P31,(K31-Q31))</f>
        <v>12</v>
      </c>
      <c r="T31" s="303">
        <f>(BP_34/Ene_Credits)*Ene01_credits</f>
        <v>0.10363636363636364</v>
      </c>
      <c r="U31" s="303">
        <f>(Ene01_41/Ene01_credits)*Ene01_user</f>
        <v>0</v>
      </c>
      <c r="W31" s="528">
        <f>'Assessment Issue Scoring'!E394</f>
        <v>0</v>
      </c>
      <c r="X31" s="304"/>
      <c r="Y31" s="304"/>
      <c r="AA31" s="305"/>
      <c r="AB31" s="467"/>
      <c r="AC31" s="467"/>
      <c r="AD31" s="488">
        <v>6</v>
      </c>
      <c r="AE31" s="489">
        <v>8</v>
      </c>
      <c r="AF31" s="267"/>
      <c r="AG31" s="305"/>
      <c r="AH31" s="467"/>
      <c r="AI31" s="467"/>
      <c r="AJ31" s="488">
        <v>6</v>
      </c>
      <c r="AK31" s="489">
        <v>8</v>
      </c>
      <c r="AM31" s="307"/>
      <c r="AN31" s="308"/>
      <c r="AO31" s="308"/>
      <c r="AP31" s="308">
        <f t="shared" ref="AP31:AP32" si="26">IF($D$5=$G$8,AJ31,AD31)</f>
        <v>6</v>
      </c>
      <c r="AQ31" s="371">
        <f>IF($D$5=$G$8,AK31,AE31)</f>
        <v>8</v>
      </c>
      <c r="AR31" s="307">
        <f t="shared" si="10"/>
        <v>3</v>
      </c>
      <c r="AS31" s="310" t="str">
        <f t="shared" ref="AS31:AS40" si="27">VLOOKUP(AR31,$BB$8:$BC$14,2,FALSE)</f>
        <v>Very Good</v>
      </c>
      <c r="AT31" s="311"/>
      <c r="AU31" s="307">
        <f t="shared" ref="AU31:AU40" si="28">IF(AQ31=0,9,IF(X31&gt;=AQ31,5,IF(X31&gt;=AP31,4,IF(X31&gt;=AO31,3,IF(X31&gt;=AN31,2,IF(X31&lt;AM31,0,1))))))</f>
        <v>3</v>
      </c>
      <c r="AV31" s="310" t="str">
        <f t="shared" ref="AV31:AV40" si="29">VLOOKUP(AU31,$BB$8:$BC$14,2,FALSE)</f>
        <v>Very Good</v>
      </c>
      <c r="AW31" s="311"/>
      <c r="AX31" s="307">
        <f t="shared" ref="AX31:AX40" si="30">IF(AQ31=0,9,IF(X31&gt;=AQ31,5,IF(X31&gt;=AP31,4,IF(X31&gt;=AO31,3,IF(X31&gt;=AN31,2,IF(X31&lt;AM31,0,1))))))</f>
        <v>3</v>
      </c>
      <c r="AY31" s="310" t="str">
        <f t="shared" ref="AY31:AY40" si="31">VLOOKUP(AX31,$BB$8:$BC$14,2,FALSE)</f>
        <v>Very Good</v>
      </c>
      <c r="AZ31" s="311"/>
      <c r="BC31" s="386"/>
      <c r="BD31" s="298" t="s">
        <v>4</v>
      </c>
      <c r="BE31" s="299" t="s">
        <v>189</v>
      </c>
      <c r="BF31" s="299">
        <f t="shared" si="22"/>
        <v>5</v>
      </c>
      <c r="BG31" s="299">
        <f t="shared" si="23"/>
        <v>0</v>
      </c>
      <c r="BH31" s="319">
        <f t="shared" si="24"/>
        <v>0</v>
      </c>
    </row>
    <row r="32" spans="1:61" x14ac:dyDescent="0.25">
      <c r="A32" s="529">
        <v>25</v>
      </c>
      <c r="B32" s="529"/>
      <c r="C32" s="363" t="s">
        <v>147</v>
      </c>
      <c r="D32" s="374" t="s">
        <v>145</v>
      </c>
      <c r="E32" s="312">
        <v>3</v>
      </c>
      <c r="F32" s="312">
        <v>3</v>
      </c>
      <c r="G32" s="312">
        <v>2</v>
      </c>
      <c r="H32" s="312">
        <v>3</v>
      </c>
      <c r="I32" s="313">
        <v>3</v>
      </c>
      <c r="K32" s="362">
        <f t="shared" si="25"/>
        <v>3</v>
      </c>
      <c r="L32" s="298"/>
      <c r="M32" s="299"/>
      <c r="N32" s="299"/>
      <c r="O32" s="299">
        <f>'Manuell filtrering og justering'!D30</f>
        <v>0</v>
      </c>
      <c r="P32" s="300">
        <f>VLOOKUP(C32,'Manuell filtrering og justering'!$A$7:$G$97,'Manuell filtrering og justering'!$G$1,FALSE)</f>
        <v>3</v>
      </c>
      <c r="Q32" s="301">
        <f t="shared" ref="Q32:Q40" si="32">IF(SUM(L32:O32)&gt;K32,K32,SUM(L32:O32))</f>
        <v>0</v>
      </c>
      <c r="R32" s="302">
        <f>IF($S$4='Manuell filtrering og justering'!$I$2,P32,(K32-Q32))</f>
        <v>3</v>
      </c>
      <c r="T32" s="303">
        <f>(BP_34/Ene_Credits)*Ene02_credits</f>
        <v>2.5909090909090909E-2</v>
      </c>
      <c r="U32" s="303">
        <f>(Ene02_10/Ene02_credits)*Ene02_user</f>
        <v>0</v>
      </c>
      <c r="W32" s="1338">
        <f>'Assessment Issue Scoring'!E420</f>
        <v>0</v>
      </c>
      <c r="X32" s="304">
        <f>IF('Assessment Issue Scoring'!T4=AIS_Yes,Poeng!Y32,Ene02_user)</f>
        <v>0</v>
      </c>
      <c r="Y32" s="304">
        <f>'Assessment Issue Scoring'!AI415</f>
        <v>0</v>
      </c>
      <c r="AA32" s="469"/>
      <c r="AB32" s="315"/>
      <c r="AC32" s="315">
        <v>1</v>
      </c>
      <c r="AD32" s="315">
        <v>1</v>
      </c>
      <c r="AE32" s="320">
        <v>1</v>
      </c>
      <c r="AF32" s="267"/>
      <c r="AG32" s="469"/>
      <c r="AH32" s="315"/>
      <c r="AI32" s="315"/>
      <c r="AJ32" s="315"/>
      <c r="AK32" s="320"/>
      <c r="AM32" s="316"/>
      <c r="AN32" s="317"/>
      <c r="AO32" s="317">
        <f t="shared" ref="AO32" si="33">IF($D$5=$G$8,AI32,AC32)</f>
        <v>1</v>
      </c>
      <c r="AP32" s="317">
        <f t="shared" si="26"/>
        <v>1</v>
      </c>
      <c r="AQ32" s="321">
        <f>IF($D$5=$G$8,AK32,AE32)</f>
        <v>1</v>
      </c>
      <c r="AR32" s="316">
        <f>IF(AQ32=0,9,IF(X32&gt;=AQ32,5,IF(X32&gt;=AP32,4,IF(X32&gt;=AO32,3,IF(X32&gt;=AN32,2,IF(X32&lt;AM32,0,1))))))</f>
        <v>2</v>
      </c>
      <c r="AS32" s="299" t="str">
        <f t="shared" si="27"/>
        <v>Good</v>
      </c>
      <c r="AT32" s="319"/>
      <c r="AU32" s="316">
        <f t="shared" si="28"/>
        <v>2</v>
      </c>
      <c r="AV32" s="299" t="str">
        <f t="shared" si="29"/>
        <v>Good</v>
      </c>
      <c r="AW32" s="319"/>
      <c r="AX32" s="316">
        <f t="shared" si="30"/>
        <v>2</v>
      </c>
      <c r="AY32" s="299" t="str">
        <f t="shared" si="31"/>
        <v>Good</v>
      </c>
      <c r="AZ32" s="319"/>
      <c r="BC32" s="386"/>
      <c r="BD32" s="298" t="s">
        <v>345</v>
      </c>
      <c r="BE32" s="299" t="s">
        <v>190</v>
      </c>
      <c r="BF32" s="299">
        <f t="shared" si="22"/>
        <v>0</v>
      </c>
      <c r="BG32" s="299">
        <f t="shared" si="23"/>
        <v>0</v>
      </c>
      <c r="BH32" s="319">
        <f t="shared" si="24"/>
        <v>0</v>
      </c>
    </row>
    <row r="33" spans="1:60" x14ac:dyDescent="0.25">
      <c r="A33" s="529">
        <v>26</v>
      </c>
      <c r="B33" s="529"/>
      <c r="C33" s="363" t="s">
        <v>148</v>
      </c>
      <c r="D33" s="374" t="s">
        <v>137</v>
      </c>
      <c r="E33" s="312">
        <v>1</v>
      </c>
      <c r="F33" s="312">
        <v>1</v>
      </c>
      <c r="G33" s="312">
        <v>1</v>
      </c>
      <c r="H33" s="312">
        <v>1</v>
      </c>
      <c r="I33" s="313">
        <v>1</v>
      </c>
      <c r="K33" s="362">
        <f t="shared" si="25"/>
        <v>1</v>
      </c>
      <c r="L33" s="298"/>
      <c r="M33" s="299"/>
      <c r="N33" s="299"/>
      <c r="O33" s="299">
        <f>'Manuell filtrering og justering'!D31</f>
        <v>0</v>
      </c>
      <c r="P33" s="300">
        <f>VLOOKUP(C33,'Manuell filtrering og justering'!$A$7:$G$97,'Manuell filtrering og justering'!$G$1,FALSE)</f>
        <v>1</v>
      </c>
      <c r="Q33" s="301">
        <f t="shared" si="32"/>
        <v>0</v>
      </c>
      <c r="R33" s="302">
        <f>IF($S$4='Manuell filtrering og justering'!$I$2,P33,(K33-Q33))</f>
        <v>1</v>
      </c>
      <c r="T33" s="303">
        <f>(BP_34/Ene_Credits)*Ene03_credits</f>
        <v>8.6363636363636365E-3</v>
      </c>
      <c r="U33" s="303">
        <f>(Ene03_05/Ene03_credits)*Ene03_user</f>
        <v>0</v>
      </c>
      <c r="W33" s="528">
        <f>'Assessment Issue Scoring'!E441</f>
        <v>0</v>
      </c>
      <c r="X33" s="304"/>
      <c r="Y33" s="304"/>
      <c r="AA33" s="470"/>
      <c r="AB33" s="471"/>
      <c r="AC33" s="471"/>
      <c r="AD33" s="471"/>
      <c r="AE33" s="472"/>
      <c r="AF33" s="267"/>
      <c r="AG33" s="470"/>
      <c r="AH33" s="471"/>
      <c r="AI33" s="471"/>
      <c r="AJ33" s="471"/>
      <c r="AK33" s="472"/>
      <c r="AM33" s="322"/>
      <c r="AN33" s="323"/>
      <c r="AO33" s="323"/>
      <c r="AP33" s="323"/>
      <c r="AQ33" s="324">
        <f>IF($D$5=$G$8,AK33,AE33)</f>
        <v>0</v>
      </c>
      <c r="AR33" s="316">
        <f t="shared" si="10"/>
        <v>9</v>
      </c>
      <c r="AS33" s="299" t="str">
        <f t="shared" si="27"/>
        <v>N/A</v>
      </c>
      <c r="AT33" s="319"/>
      <c r="AU33" s="316">
        <f t="shared" si="28"/>
        <v>9</v>
      </c>
      <c r="AV33" s="299" t="str">
        <f t="shared" si="29"/>
        <v>N/A</v>
      </c>
      <c r="AW33" s="319"/>
      <c r="AX33" s="316">
        <f t="shared" si="30"/>
        <v>9</v>
      </c>
      <c r="AY33" s="299" t="str">
        <f t="shared" si="31"/>
        <v>N/A</v>
      </c>
      <c r="AZ33" s="319"/>
      <c r="BC33" s="386"/>
      <c r="BD33" s="298" t="s">
        <v>193</v>
      </c>
      <c r="BE33" s="299" t="s">
        <v>193</v>
      </c>
      <c r="BF33" s="299">
        <f t="shared" si="22"/>
        <v>4</v>
      </c>
      <c r="BG33" s="299">
        <f t="shared" si="23"/>
        <v>4</v>
      </c>
      <c r="BH33" s="319">
        <f t="shared" si="24"/>
        <v>4</v>
      </c>
    </row>
    <row r="34" spans="1:60" ht="15.75" thickBot="1" x14ac:dyDescent="0.3">
      <c r="A34" s="529">
        <v>27</v>
      </c>
      <c r="B34" s="529"/>
      <c r="C34" s="363" t="s">
        <v>149</v>
      </c>
      <c r="D34" s="374" t="s">
        <v>138</v>
      </c>
      <c r="E34" s="312">
        <v>2</v>
      </c>
      <c r="F34" s="312">
        <v>2</v>
      </c>
      <c r="G34" s="312">
        <v>2</v>
      </c>
      <c r="H34" s="312">
        <v>2</v>
      </c>
      <c r="I34" s="313">
        <v>2</v>
      </c>
      <c r="K34" s="362">
        <f t="shared" si="25"/>
        <v>2</v>
      </c>
      <c r="L34" s="298"/>
      <c r="M34" s="299"/>
      <c r="N34" s="299"/>
      <c r="O34" s="299">
        <f>'Manuell filtrering og justering'!D32</f>
        <v>0</v>
      </c>
      <c r="P34" s="300">
        <f>VLOOKUP(C34,'Manuell filtrering og justering'!$A$7:$G$97,'Manuell filtrering og justering'!$G$1,FALSE)</f>
        <v>3</v>
      </c>
      <c r="Q34" s="301">
        <f t="shared" si="32"/>
        <v>0</v>
      </c>
      <c r="R34" s="302">
        <f>IF($S$4='Manuell filtrering og justering'!$I$2,P34,(K34-Q34))</f>
        <v>2</v>
      </c>
      <c r="T34" s="303">
        <f>(BP_34/Ene_Credits)*Ene04_credits</f>
        <v>1.7272727272727273E-2</v>
      </c>
      <c r="U34" s="303">
        <f>(Ene04_19/Ene04_credits)*Ene04_user</f>
        <v>0</v>
      </c>
      <c r="W34" s="528">
        <f>'Assessment Issue Scoring'!E462</f>
        <v>0</v>
      </c>
      <c r="X34" s="304"/>
      <c r="Y34" s="304"/>
      <c r="AA34" s="469"/>
      <c r="AB34" s="315"/>
      <c r="AC34" s="315"/>
      <c r="AD34" s="315">
        <v>1</v>
      </c>
      <c r="AE34" s="320">
        <v>1</v>
      </c>
      <c r="AF34" s="267"/>
      <c r="AG34" s="469"/>
      <c r="AH34" s="315"/>
      <c r="AI34" s="315"/>
      <c r="AJ34" s="315">
        <v>1</v>
      </c>
      <c r="AK34" s="320">
        <v>1</v>
      </c>
      <c r="AM34" s="316"/>
      <c r="AN34" s="317"/>
      <c r="AO34" s="317"/>
      <c r="AP34" s="317">
        <f t="shared" ref="AP34" si="34">IF($D$5=$G$8,AJ34,AD34)</f>
        <v>1</v>
      </c>
      <c r="AQ34" s="321">
        <f t="shared" si="1"/>
        <v>1</v>
      </c>
      <c r="AR34" s="316">
        <f t="shared" si="10"/>
        <v>3</v>
      </c>
      <c r="AS34" s="299" t="str">
        <f t="shared" si="27"/>
        <v>Very Good</v>
      </c>
      <c r="AT34" s="319"/>
      <c r="AU34" s="316">
        <f t="shared" si="28"/>
        <v>3</v>
      </c>
      <c r="AV34" s="299" t="str">
        <f t="shared" si="29"/>
        <v>Very Good</v>
      </c>
      <c r="AW34" s="319"/>
      <c r="AX34" s="316">
        <f t="shared" si="30"/>
        <v>3</v>
      </c>
      <c r="AY34" s="299" t="str">
        <f t="shared" si="31"/>
        <v>Very Good</v>
      </c>
      <c r="AZ34" s="319"/>
      <c r="BD34" s="372" t="s">
        <v>195</v>
      </c>
      <c r="BE34" s="338" t="s">
        <v>195</v>
      </c>
      <c r="BF34" s="338">
        <f t="shared" si="22"/>
        <v>3</v>
      </c>
      <c r="BG34" s="338">
        <f t="shared" si="23"/>
        <v>3</v>
      </c>
      <c r="BH34" s="339">
        <f t="shared" si="24"/>
        <v>3</v>
      </c>
    </row>
    <row r="35" spans="1:60" x14ac:dyDescent="0.25">
      <c r="A35" s="529">
        <v>28</v>
      </c>
      <c r="B35" s="529"/>
      <c r="C35" s="363" t="s">
        <v>150</v>
      </c>
      <c r="D35" s="374" t="s">
        <v>139</v>
      </c>
      <c r="E35" s="312">
        <v>3</v>
      </c>
      <c r="F35" s="312">
        <v>3</v>
      </c>
      <c r="G35" s="312">
        <v>0</v>
      </c>
      <c r="H35" s="312">
        <v>3</v>
      </c>
      <c r="I35" s="313">
        <v>3</v>
      </c>
      <c r="K35" s="362">
        <f t="shared" si="25"/>
        <v>3</v>
      </c>
      <c r="L35" s="363">
        <f>IF(AD_refrig=AD_no,K35,0)</f>
        <v>3</v>
      </c>
      <c r="M35" s="299"/>
      <c r="N35" s="299"/>
      <c r="O35" s="299">
        <f>'Manuell filtrering og justering'!D33</f>
        <v>0</v>
      </c>
      <c r="P35" s="300">
        <f>VLOOKUP(C35,'Manuell filtrering og justering'!$A$7:$G$97,'Manuell filtrering og justering'!$G$1,FALSE)</f>
        <v>0</v>
      </c>
      <c r="Q35" s="301">
        <f t="shared" si="32"/>
        <v>3</v>
      </c>
      <c r="R35" s="302">
        <f>IF($S$4='Manuell filtrering og justering'!$I$2,P35,(K35-Q35))</f>
        <v>0</v>
      </c>
      <c r="T35" s="303">
        <f>(BP_34/Ene_Credits)*Ene05_credits</f>
        <v>0</v>
      </c>
      <c r="U35" s="303">
        <f>IFERROR((Ene05_20/Ene05_credits)*Ene05_user,0)</f>
        <v>0</v>
      </c>
      <c r="W35" s="528">
        <f>'Assessment Issue Scoring'!E484</f>
        <v>0</v>
      </c>
      <c r="X35" s="304"/>
      <c r="Y35" s="304"/>
      <c r="AA35" s="470"/>
      <c r="AB35" s="471"/>
      <c r="AC35" s="471"/>
      <c r="AD35" s="471"/>
      <c r="AE35" s="472"/>
      <c r="AF35" s="267"/>
      <c r="AG35" s="470"/>
      <c r="AH35" s="471"/>
      <c r="AI35" s="471"/>
      <c r="AJ35" s="471"/>
      <c r="AK35" s="472"/>
      <c r="AM35" s="322"/>
      <c r="AN35" s="323"/>
      <c r="AO35" s="323"/>
      <c r="AP35" s="323"/>
      <c r="AQ35" s="324">
        <f t="shared" si="1"/>
        <v>0</v>
      </c>
      <c r="AR35" s="316">
        <f t="shared" si="10"/>
        <v>9</v>
      </c>
      <c r="AS35" s="299" t="str">
        <f t="shared" si="27"/>
        <v>N/A</v>
      </c>
      <c r="AT35" s="319"/>
      <c r="AU35" s="316">
        <f t="shared" si="28"/>
        <v>9</v>
      </c>
      <c r="AV35" s="299" t="str">
        <f t="shared" si="29"/>
        <v>N/A</v>
      </c>
      <c r="AW35" s="319"/>
      <c r="AX35" s="316">
        <f t="shared" si="30"/>
        <v>9</v>
      </c>
      <c r="AY35" s="299" t="str">
        <f t="shared" si="31"/>
        <v>N/A</v>
      </c>
      <c r="AZ35" s="319"/>
    </row>
    <row r="36" spans="1:60" x14ac:dyDescent="0.25">
      <c r="A36" s="529">
        <v>29</v>
      </c>
      <c r="B36" s="529"/>
      <c r="C36" s="363" t="s">
        <v>151</v>
      </c>
      <c r="D36" s="374" t="s">
        <v>140</v>
      </c>
      <c r="E36" s="312">
        <v>2</v>
      </c>
      <c r="F36" s="312">
        <v>2</v>
      </c>
      <c r="G36" s="312">
        <v>2</v>
      </c>
      <c r="H36" s="312">
        <v>2</v>
      </c>
      <c r="I36" s="313">
        <v>2</v>
      </c>
      <c r="K36" s="362">
        <f t="shared" si="25"/>
        <v>2</v>
      </c>
      <c r="L36" s="363">
        <f>IF(AD_Trans=AD_no,Poeng!K36,0)</f>
        <v>2</v>
      </c>
      <c r="M36" s="299"/>
      <c r="N36" s="299"/>
      <c r="O36" s="299">
        <f>'Manuell filtrering og justering'!D34</f>
        <v>0</v>
      </c>
      <c r="P36" s="300">
        <f>VLOOKUP(C36,'Manuell filtrering og justering'!$A$7:$G$97,'Manuell filtrering og justering'!$G$1,FALSE)</f>
        <v>2</v>
      </c>
      <c r="Q36" s="301">
        <f t="shared" si="32"/>
        <v>2</v>
      </c>
      <c r="R36" s="302">
        <f>IF($S$4='Manuell filtrering og justering'!$I$2,P36,(K36-Q36))</f>
        <v>0</v>
      </c>
      <c r="T36" s="303">
        <f>(BP_34/Ene_Credits)*Ene06_credits</f>
        <v>0</v>
      </c>
      <c r="U36" s="303">
        <f>IF(Ene06_credits=0,0,(Ene06_11/Ene06_credits)*Ene06_user)</f>
        <v>0</v>
      </c>
      <c r="W36" s="528">
        <f>'Assessment Issue Scoring'!E505</f>
        <v>0</v>
      </c>
      <c r="X36" s="304"/>
      <c r="Y36" s="304"/>
      <c r="AA36" s="470"/>
      <c r="AB36" s="471"/>
      <c r="AC36" s="471"/>
      <c r="AD36" s="471"/>
      <c r="AE36" s="472"/>
      <c r="AF36" s="267"/>
      <c r="AG36" s="470"/>
      <c r="AH36" s="471"/>
      <c r="AI36" s="471"/>
      <c r="AJ36" s="471"/>
      <c r="AK36" s="472"/>
      <c r="AM36" s="322"/>
      <c r="AN36" s="323"/>
      <c r="AO36" s="323"/>
      <c r="AP36" s="323"/>
      <c r="AQ36" s="324">
        <f t="shared" si="1"/>
        <v>0</v>
      </c>
      <c r="AR36" s="316">
        <f t="shared" si="10"/>
        <v>9</v>
      </c>
      <c r="AS36" s="299" t="str">
        <f t="shared" si="27"/>
        <v>N/A</v>
      </c>
      <c r="AT36" s="319"/>
      <c r="AU36" s="316">
        <f t="shared" si="28"/>
        <v>9</v>
      </c>
      <c r="AV36" s="299" t="str">
        <f t="shared" si="29"/>
        <v>N/A</v>
      </c>
      <c r="AW36" s="319"/>
      <c r="AX36" s="316">
        <f t="shared" si="30"/>
        <v>9</v>
      </c>
      <c r="AY36" s="299" t="str">
        <f t="shared" si="31"/>
        <v>N/A</v>
      </c>
      <c r="AZ36" s="319"/>
    </row>
    <row r="37" spans="1:60" x14ac:dyDescent="0.25">
      <c r="A37" s="529">
        <v>30</v>
      </c>
      <c r="B37" s="529"/>
      <c r="C37" s="363" t="s">
        <v>152</v>
      </c>
      <c r="D37" s="374" t="s">
        <v>141</v>
      </c>
      <c r="E37" s="312">
        <v>5</v>
      </c>
      <c r="F37" s="312">
        <v>5</v>
      </c>
      <c r="G37" s="461">
        <v>0</v>
      </c>
      <c r="H37" s="312">
        <v>5</v>
      </c>
      <c r="I37" s="313">
        <v>5</v>
      </c>
      <c r="K37" s="362">
        <f t="shared" si="25"/>
        <v>5</v>
      </c>
      <c r="L37" s="363">
        <f>IF(AD_Labsize=AD_Labsize03,Poeng!K37,IF(AD_Labsize=AD_labsize04,4,IF(AD_Labsize=AD_Labsize01,2,0)))</f>
        <v>5</v>
      </c>
      <c r="M37" s="299"/>
      <c r="N37" s="299"/>
      <c r="O37" s="299">
        <f>'Manuell filtrering og justering'!D35</f>
        <v>0</v>
      </c>
      <c r="P37" s="300">
        <f>VLOOKUP(C37,'Manuell filtrering og justering'!$A$7:$G$97,'Manuell filtrering og justering'!$G$1,FALSE)</f>
        <v>0</v>
      </c>
      <c r="Q37" s="301">
        <f t="shared" si="32"/>
        <v>5</v>
      </c>
      <c r="R37" s="302">
        <f>IF($S$4='Manuell filtrering og justering'!$I$2,P37,(K37-Q37))</f>
        <v>0</v>
      </c>
      <c r="T37" s="303">
        <f>(BP_34/Ene_Credits)*Ene07_credits</f>
        <v>0</v>
      </c>
      <c r="U37" s="303">
        <f>IF(Ene07_credits=0,0,(Ene07_24/Ene07_credits)*Ene07_user)</f>
        <v>0</v>
      </c>
      <c r="W37" s="528">
        <f>'Assessment Issue Scoring'!E544</f>
        <v>0</v>
      </c>
      <c r="X37" s="304"/>
      <c r="Y37" s="304"/>
      <c r="AA37" s="470"/>
      <c r="AB37" s="471"/>
      <c r="AC37" s="471"/>
      <c r="AD37" s="471"/>
      <c r="AE37" s="472"/>
      <c r="AF37" s="267"/>
      <c r="AG37" s="470"/>
      <c r="AH37" s="471"/>
      <c r="AI37" s="471"/>
      <c r="AJ37" s="471"/>
      <c r="AK37" s="472"/>
      <c r="AM37" s="322"/>
      <c r="AN37" s="323"/>
      <c r="AO37" s="323"/>
      <c r="AP37" s="323"/>
      <c r="AQ37" s="324">
        <f t="shared" si="1"/>
        <v>0</v>
      </c>
      <c r="AR37" s="316">
        <f t="shared" si="10"/>
        <v>9</v>
      </c>
      <c r="AS37" s="299" t="str">
        <f t="shared" si="27"/>
        <v>N/A</v>
      </c>
      <c r="AT37" s="319"/>
      <c r="AU37" s="316">
        <f t="shared" si="28"/>
        <v>9</v>
      </c>
      <c r="AV37" s="299" t="str">
        <f t="shared" si="29"/>
        <v>N/A</v>
      </c>
      <c r="AW37" s="319"/>
      <c r="AX37" s="316">
        <f t="shared" si="30"/>
        <v>9</v>
      </c>
      <c r="AY37" s="299" t="str">
        <f t="shared" si="31"/>
        <v>N/A</v>
      </c>
      <c r="AZ37" s="319"/>
    </row>
    <row r="38" spans="1:60" x14ac:dyDescent="0.25">
      <c r="A38" s="529">
        <v>31</v>
      </c>
      <c r="B38" s="529"/>
      <c r="C38" s="363" t="s">
        <v>153</v>
      </c>
      <c r="D38" s="374" t="s">
        <v>142</v>
      </c>
      <c r="E38" s="312">
        <v>2</v>
      </c>
      <c r="F38" s="312">
        <v>2</v>
      </c>
      <c r="G38" s="312">
        <v>2</v>
      </c>
      <c r="H38" s="312">
        <v>2</v>
      </c>
      <c r="I38" s="313">
        <v>2</v>
      </c>
      <c r="K38" s="362">
        <f t="shared" si="25"/>
        <v>2</v>
      </c>
      <c r="L38" s="298"/>
      <c r="M38" s="299"/>
      <c r="N38" s="299"/>
      <c r="O38" s="299">
        <f>'Manuell filtrering og justering'!D36</f>
        <v>0</v>
      </c>
      <c r="P38" s="300">
        <f>VLOOKUP(C38,'Manuell filtrering og justering'!$A$7:$G$97,'Manuell filtrering og justering'!$G$1,FALSE)</f>
        <v>2</v>
      </c>
      <c r="Q38" s="301">
        <f t="shared" si="32"/>
        <v>0</v>
      </c>
      <c r="R38" s="302">
        <f>IF($S$4='Manuell filtrering og justering'!$I$2,P38,(K38-Q38))</f>
        <v>2</v>
      </c>
      <c r="T38" s="303">
        <f>(BP_34/Ene_Credits)*Ene08_credits</f>
        <v>1.7272727272727273E-2</v>
      </c>
      <c r="U38" s="303">
        <f>(Ene08_27/Ene08_credits)*Ene08_user</f>
        <v>0</v>
      </c>
      <c r="W38" s="528">
        <f>'Assessment Issue Scoring'!E573</f>
        <v>0</v>
      </c>
      <c r="X38" s="304"/>
      <c r="Y38" s="304"/>
      <c r="AA38" s="470"/>
      <c r="AB38" s="471"/>
      <c r="AC38" s="471"/>
      <c r="AD38" s="471"/>
      <c r="AE38" s="472"/>
      <c r="AF38" s="267"/>
      <c r="AG38" s="470"/>
      <c r="AH38" s="471"/>
      <c r="AI38" s="471"/>
      <c r="AJ38" s="471"/>
      <c r="AK38" s="472"/>
      <c r="AM38" s="322"/>
      <c r="AN38" s="323"/>
      <c r="AO38" s="323"/>
      <c r="AP38" s="323"/>
      <c r="AQ38" s="324">
        <f t="shared" si="1"/>
        <v>0</v>
      </c>
      <c r="AR38" s="316">
        <f t="shared" si="10"/>
        <v>9</v>
      </c>
      <c r="AS38" s="299" t="str">
        <f t="shared" si="27"/>
        <v>N/A</v>
      </c>
      <c r="AT38" s="319"/>
      <c r="AU38" s="316">
        <f t="shared" si="28"/>
        <v>9</v>
      </c>
      <c r="AV38" s="299" t="str">
        <f t="shared" si="29"/>
        <v>N/A</v>
      </c>
      <c r="AW38" s="319"/>
      <c r="AX38" s="316">
        <f t="shared" si="30"/>
        <v>9</v>
      </c>
      <c r="AY38" s="299" t="str">
        <f t="shared" si="31"/>
        <v>N/A</v>
      </c>
      <c r="AZ38" s="319"/>
    </row>
    <row r="39" spans="1:60" x14ac:dyDescent="0.25">
      <c r="A39" s="529">
        <v>32</v>
      </c>
      <c r="B39" s="529"/>
      <c r="C39" s="363" t="s">
        <v>154</v>
      </c>
      <c r="D39" s="374" t="s">
        <v>143</v>
      </c>
      <c r="E39" s="312"/>
      <c r="F39" s="312"/>
      <c r="G39" s="312">
        <v>1</v>
      </c>
      <c r="H39" s="312"/>
      <c r="I39" s="313"/>
      <c r="K39" s="362">
        <f t="shared" si="25"/>
        <v>0</v>
      </c>
      <c r="L39" s="298"/>
      <c r="M39" s="299"/>
      <c r="N39" s="299"/>
      <c r="O39" s="299">
        <f>'Manuell filtrering og justering'!D37</f>
        <v>0</v>
      </c>
      <c r="P39" s="300">
        <f>VLOOKUP(C39,'Manuell filtrering og justering'!$A$7:$G$97,'Manuell filtrering og justering'!$G$1,FALSE)</f>
        <v>0</v>
      </c>
      <c r="Q39" s="301">
        <f t="shared" si="32"/>
        <v>0</v>
      </c>
      <c r="R39" s="302">
        <f>IF($S$4='Manuell filtrering og justering'!$I$2,P39,(K39-Q39))</f>
        <v>0</v>
      </c>
      <c r="T39" s="303">
        <f>(BP_34/Ene_Credits)*Ene09_credits</f>
        <v>0</v>
      </c>
      <c r="U39" s="303">
        <f>IFERROR((Ene09_07/Ene09_credits)*Ene09_user,0)</f>
        <v>0</v>
      </c>
      <c r="W39" s="528">
        <f>'Assessment Issue Scoring'!E593</f>
        <v>0</v>
      </c>
      <c r="X39" s="304"/>
      <c r="Y39" s="304"/>
      <c r="AA39" s="470"/>
      <c r="AB39" s="471"/>
      <c r="AC39" s="471"/>
      <c r="AD39" s="471"/>
      <c r="AE39" s="472"/>
      <c r="AF39" s="267"/>
      <c r="AG39" s="470"/>
      <c r="AH39" s="471"/>
      <c r="AI39" s="471"/>
      <c r="AJ39" s="471"/>
      <c r="AK39" s="472"/>
      <c r="AM39" s="322"/>
      <c r="AN39" s="323"/>
      <c r="AO39" s="323"/>
      <c r="AP39" s="323"/>
      <c r="AQ39" s="324">
        <f t="shared" si="1"/>
        <v>0</v>
      </c>
      <c r="AR39" s="316">
        <f t="shared" si="10"/>
        <v>9</v>
      </c>
      <c r="AS39" s="299" t="str">
        <f t="shared" si="27"/>
        <v>N/A</v>
      </c>
      <c r="AT39" s="319"/>
      <c r="AU39" s="316">
        <f t="shared" si="28"/>
        <v>9</v>
      </c>
      <c r="AV39" s="299" t="str">
        <f t="shared" si="29"/>
        <v>N/A</v>
      </c>
      <c r="AW39" s="319"/>
      <c r="AX39" s="316">
        <f t="shared" si="30"/>
        <v>9</v>
      </c>
      <c r="AY39" s="299" t="str">
        <f t="shared" si="31"/>
        <v>N/A</v>
      </c>
      <c r="AZ39" s="319"/>
    </row>
    <row r="40" spans="1:60" ht="15.75" thickBot="1" x14ac:dyDescent="0.3">
      <c r="A40" s="529">
        <v>33</v>
      </c>
      <c r="B40" s="529"/>
      <c r="C40" s="363" t="s">
        <v>155</v>
      </c>
      <c r="D40" s="374" t="s">
        <v>144</v>
      </c>
      <c r="E40" s="312">
        <v>2</v>
      </c>
      <c r="F40" s="312">
        <v>2</v>
      </c>
      <c r="G40" s="312">
        <v>2</v>
      </c>
      <c r="H40" s="312">
        <v>2</v>
      </c>
      <c r="I40" s="313">
        <v>2</v>
      </c>
      <c r="K40" s="373">
        <f t="shared" si="25"/>
        <v>2</v>
      </c>
      <c r="L40" s="298"/>
      <c r="M40" s="299"/>
      <c r="N40" s="299"/>
      <c r="O40" s="299">
        <f>'Manuell filtrering og justering'!D38</f>
        <v>0</v>
      </c>
      <c r="P40" s="300">
        <f>VLOOKUP(C40,'Manuell filtrering og justering'!$A$7:$G$97,'Manuell filtrering og justering'!$G$1,FALSE)</f>
        <v>2</v>
      </c>
      <c r="Q40" s="301">
        <f t="shared" si="32"/>
        <v>0</v>
      </c>
      <c r="R40" s="302">
        <f>IF($S$4='Manuell filtrering og justering'!$I$2,P40,(K40-Q40))</f>
        <v>2</v>
      </c>
      <c r="T40" s="303">
        <f>(BP_34/Ene_Credits)*Ene23_credits</f>
        <v>1.7272727272727273E-2</v>
      </c>
      <c r="U40" s="303">
        <f>(T40/Ene23_credits)*Ene23_user</f>
        <v>0</v>
      </c>
      <c r="W40" s="528">
        <f>'Assessment Issue Scoring'!E618</f>
        <v>0</v>
      </c>
      <c r="X40" s="304"/>
      <c r="Y40" s="304"/>
      <c r="AA40" s="479"/>
      <c r="AB40" s="480"/>
      <c r="AC40" s="480"/>
      <c r="AD40" s="480"/>
      <c r="AE40" s="481">
        <v>2</v>
      </c>
      <c r="AF40" s="267"/>
      <c r="AG40" s="479"/>
      <c r="AH40" s="480"/>
      <c r="AI40" s="480"/>
      <c r="AJ40" s="480"/>
      <c r="AK40" s="481">
        <v>2</v>
      </c>
      <c r="AM40" s="337"/>
      <c r="AN40" s="366"/>
      <c r="AO40" s="366"/>
      <c r="AP40" s="366"/>
      <c r="AQ40" s="367">
        <f t="shared" si="1"/>
        <v>2</v>
      </c>
      <c r="AR40" s="337">
        <f t="shared" si="10"/>
        <v>4</v>
      </c>
      <c r="AS40" s="338" t="str">
        <f t="shared" si="27"/>
        <v>Excellent</v>
      </c>
      <c r="AT40" s="339"/>
      <c r="AU40" s="337">
        <f t="shared" si="28"/>
        <v>4</v>
      </c>
      <c r="AV40" s="338" t="str">
        <f t="shared" si="29"/>
        <v>Excellent</v>
      </c>
      <c r="AW40" s="339"/>
      <c r="AX40" s="337">
        <f t="shared" si="30"/>
        <v>4</v>
      </c>
      <c r="AY40" s="338" t="str">
        <f t="shared" si="31"/>
        <v>Excellent</v>
      </c>
      <c r="AZ40" s="339"/>
    </row>
    <row r="41" spans="1:60" ht="15.75" thickBot="1" x14ac:dyDescent="0.3">
      <c r="A41" s="529">
        <v>34</v>
      </c>
      <c r="C41" s="340"/>
      <c r="D41" s="341" t="s">
        <v>231</v>
      </c>
      <c r="E41" s="341">
        <f>SUM(E31:E40)</f>
        <v>32</v>
      </c>
      <c r="F41" s="341">
        <f t="shared" ref="F41:I41" si="35">SUM(F31:F40)</f>
        <v>32</v>
      </c>
      <c r="G41" s="341">
        <f t="shared" si="35"/>
        <v>24</v>
      </c>
      <c r="H41" s="341">
        <f t="shared" si="35"/>
        <v>32</v>
      </c>
      <c r="I41" s="341">
        <f t="shared" si="35"/>
        <v>32</v>
      </c>
      <c r="K41" s="368">
        <f t="shared" si="25"/>
        <v>32</v>
      </c>
      <c r="L41" s="344"/>
      <c r="M41" s="345"/>
      <c r="N41" s="345"/>
      <c r="O41" s="345"/>
      <c r="P41" s="346"/>
      <c r="Q41" s="347">
        <f>SUM(Q31:Q40)</f>
        <v>10</v>
      </c>
      <c r="R41" s="369">
        <f>SUM(R31:R40)</f>
        <v>22</v>
      </c>
      <c r="T41" s="349">
        <f>SUM(T31:T40)</f>
        <v>0.19</v>
      </c>
      <c r="U41" s="349">
        <f>SUM(U31:U40)</f>
        <v>0</v>
      </c>
      <c r="W41" s="25">
        <f>SUM(W31:W40)</f>
        <v>0</v>
      </c>
      <c r="X41" s="25">
        <f t="shared" ref="X41:Y41" si="36">SUM(X31:X40)</f>
        <v>0</v>
      </c>
      <c r="Y41" s="25">
        <f t="shared" si="36"/>
        <v>0</v>
      </c>
      <c r="AA41" s="267"/>
      <c r="AB41" s="267"/>
      <c r="AC41" s="267"/>
      <c r="AD41" s="267"/>
      <c r="AE41" s="267"/>
      <c r="AF41" s="267"/>
      <c r="AG41" s="267"/>
      <c r="AH41" s="267"/>
      <c r="AI41" s="267"/>
      <c r="AJ41" s="267"/>
      <c r="AK41" s="267"/>
      <c r="AM41" s="178"/>
      <c r="AN41" s="350"/>
      <c r="AO41" s="178"/>
      <c r="AP41" s="178"/>
      <c r="AQ41" s="178"/>
    </row>
    <row r="42" spans="1:60" ht="15.75" thickBot="1" x14ac:dyDescent="0.3">
      <c r="A42" s="529">
        <v>35</v>
      </c>
      <c r="W42" s="3"/>
      <c r="X42" s="3"/>
      <c r="Y42" s="3"/>
      <c r="AA42" s="267"/>
      <c r="AB42" s="267"/>
      <c r="AC42" s="267"/>
      <c r="AD42" s="267"/>
      <c r="AE42" s="267"/>
      <c r="AF42" s="267"/>
      <c r="AG42" s="267"/>
      <c r="AH42" s="267"/>
      <c r="AI42" s="267"/>
      <c r="AJ42" s="267"/>
      <c r="AK42" s="267"/>
      <c r="AM42" s="178"/>
      <c r="AN42" s="178"/>
      <c r="AO42" s="178"/>
      <c r="AP42" s="178"/>
      <c r="AQ42" s="178"/>
    </row>
    <row r="43" spans="1:60" ht="15.75" thickBot="1" x14ac:dyDescent="0.3">
      <c r="A43" s="529">
        <v>36</v>
      </c>
      <c r="C43" s="274"/>
      <c r="D43" s="275" t="s">
        <v>71</v>
      </c>
      <c r="E43" s="276" t="str">
        <f>$E$8</f>
        <v>Office</v>
      </c>
      <c r="F43" s="276" t="str">
        <f>$F$8</f>
        <v>Retail</v>
      </c>
      <c r="G43" s="276" t="str">
        <f>$G$8</f>
        <v>Residential</v>
      </c>
      <c r="H43" s="276" t="str">
        <f>$H$8</f>
        <v>Industrial</v>
      </c>
      <c r="I43" s="277" t="str">
        <f>$I$8</f>
        <v>Education</v>
      </c>
      <c r="K43" s="266" t="str">
        <f>$D$5</f>
        <v>Office</v>
      </c>
      <c r="L43" s="351"/>
      <c r="M43" s="352"/>
      <c r="N43" s="352"/>
      <c r="O43" s="352"/>
      <c r="P43" s="756" t="s">
        <v>1167</v>
      </c>
      <c r="Q43" s="281" t="s">
        <v>231</v>
      </c>
      <c r="R43" s="266"/>
      <c r="W43" s="71"/>
      <c r="X43" s="93"/>
      <c r="Y43" s="93"/>
      <c r="AA43" s="267"/>
      <c r="AB43" s="267"/>
      <c r="AC43" s="267"/>
      <c r="AD43" s="267"/>
      <c r="AE43" s="267"/>
      <c r="AF43" s="267"/>
      <c r="AG43" s="267"/>
      <c r="AH43" s="267"/>
      <c r="AI43" s="267"/>
      <c r="AJ43" s="267"/>
      <c r="AK43" s="267"/>
      <c r="AM43" s="178"/>
      <c r="AN43" s="178"/>
      <c r="AO43" s="178"/>
      <c r="AP43" s="178"/>
      <c r="AQ43" s="178"/>
    </row>
    <row r="44" spans="1:60" x14ac:dyDescent="0.25">
      <c r="A44" s="529">
        <v>37</v>
      </c>
      <c r="B44" s="529"/>
      <c r="C44" s="558" t="s">
        <v>161</v>
      </c>
      <c r="D44" s="559" t="s">
        <v>156</v>
      </c>
      <c r="E44" s="295">
        <v>3</v>
      </c>
      <c r="F44" s="295">
        <v>5</v>
      </c>
      <c r="G44" s="295">
        <v>4</v>
      </c>
      <c r="H44" s="295">
        <v>3</v>
      </c>
      <c r="I44" s="296">
        <v>5</v>
      </c>
      <c r="K44" s="370">
        <f t="shared" ref="K44:K50" si="37">HLOOKUP($D$5,$E$8:$I$99,$A44,FALSE)</f>
        <v>3</v>
      </c>
      <c r="L44" s="363">
        <f>IF(AND(ADBT0=ADBT8,'Assessment Details'!F6='Assessment Details'!R7),2,0)</f>
        <v>0</v>
      </c>
      <c r="M44" s="299"/>
      <c r="N44" s="299"/>
      <c r="O44" s="299">
        <f>'Manuell filtrering og justering'!D42</f>
        <v>0</v>
      </c>
      <c r="P44" s="300">
        <f>VLOOKUP(C44,'Manuell filtrering og justering'!$A$7:$G$97,'Manuell filtrering og justering'!$G$1,FALSE)</f>
        <v>5</v>
      </c>
      <c r="Q44" s="301">
        <f>IF(SUM(L44:O44)&gt;K44,K44,SUM(L44:O44))</f>
        <v>0</v>
      </c>
      <c r="R44" s="302">
        <f>IF($S$4='Manuell filtrering og justering'!$I$2,P44,(K44-Q44))</f>
        <v>3</v>
      </c>
      <c r="T44" s="303">
        <f>(BP_35/Tra_Credits)*Tra01_credits</f>
        <v>3.3333333333333333E-2</v>
      </c>
      <c r="U44" s="303">
        <f>(Tra01_07/Tra01_credits)*Tra01_user</f>
        <v>0</v>
      </c>
      <c r="W44" s="528">
        <f>'Assessment Issue Scoring'!E643</f>
        <v>0</v>
      </c>
      <c r="X44" s="304"/>
      <c r="Y44" s="304"/>
      <c r="AA44" s="476"/>
      <c r="AB44" s="477"/>
      <c r="AC44" s="477"/>
      <c r="AD44" s="477"/>
      <c r="AE44" s="478"/>
      <c r="AF44" s="267"/>
      <c r="AG44" s="476"/>
      <c r="AH44" s="477"/>
      <c r="AI44" s="477"/>
      <c r="AJ44" s="477"/>
      <c r="AK44" s="478"/>
      <c r="AM44" s="359"/>
      <c r="AN44" s="360"/>
      <c r="AO44" s="360"/>
      <c r="AP44" s="360"/>
      <c r="AQ44" s="361">
        <f t="shared" si="1"/>
        <v>0</v>
      </c>
      <c r="AR44" s="307">
        <f t="shared" si="10"/>
        <v>9</v>
      </c>
      <c r="AS44" s="310" t="str">
        <f t="shared" ref="AS44:AS49" si="38">VLOOKUP(AR44,$BB$8:$BC$14,2,FALSE)</f>
        <v>N/A</v>
      </c>
      <c r="AT44" s="311"/>
      <c r="AU44" s="307">
        <f t="shared" ref="AU44:AU49" si="39">IF(AQ44=0,9,IF(X44&gt;=AQ44,5,IF(X44&gt;=AP44,4,IF(X44&gt;=AO44,3,IF(X44&gt;=AN44,2,IF(X44&lt;AM44,0,1))))))</f>
        <v>9</v>
      </c>
      <c r="AV44" s="310" t="str">
        <f t="shared" ref="AV44:AV49" si="40">VLOOKUP(AU44,$BB$8:$BC$14,2,FALSE)</f>
        <v>N/A</v>
      </c>
      <c r="AW44" s="311"/>
      <c r="AX44" s="307">
        <f t="shared" ref="AX44:AX49" si="41">IF(AQ44=0,9,IF(X44&gt;=AQ44,5,IF(X44&gt;=AP44,4,IF(X44&gt;=AO44,3,IF(X44&gt;=AN44,2,IF(X44&lt;AM44,0,1))))))</f>
        <v>9</v>
      </c>
      <c r="AY44" s="310" t="str">
        <f t="shared" ref="AY44:AY49" si="42">VLOOKUP(AX44,$BB$8:$BC$14,2,FALSE)</f>
        <v>N/A</v>
      </c>
      <c r="AZ44" s="311"/>
    </row>
    <row r="45" spans="1:60" x14ac:dyDescent="0.25">
      <c r="A45" s="529">
        <v>38</v>
      </c>
      <c r="B45" s="529"/>
      <c r="C45" s="363" t="s">
        <v>162</v>
      </c>
      <c r="D45" s="374" t="s">
        <v>157</v>
      </c>
      <c r="E45" s="312">
        <v>1</v>
      </c>
      <c r="F45" s="312">
        <v>1</v>
      </c>
      <c r="G45" s="312">
        <v>2</v>
      </c>
      <c r="H45" s="312">
        <v>1</v>
      </c>
      <c r="I45" s="313">
        <v>1</v>
      </c>
      <c r="K45" s="362">
        <f t="shared" si="37"/>
        <v>1</v>
      </c>
      <c r="L45" s="298"/>
      <c r="M45" s="299"/>
      <c r="N45" s="299"/>
      <c r="O45" s="299">
        <f>'Manuell filtrering og justering'!D43</f>
        <v>0</v>
      </c>
      <c r="P45" s="300">
        <f>VLOOKUP(C45,'Manuell filtrering og justering'!$A$7:$G$97,'Manuell filtrering og justering'!$G$1,FALSE)</f>
        <v>1</v>
      </c>
      <c r="Q45" s="301">
        <f t="shared" ref="Q45:Q49" si="43">IF(SUM(L45:O45)&gt;K45,K45,SUM(L45:O45))</f>
        <v>0</v>
      </c>
      <c r="R45" s="302">
        <f>IF($S$4='Manuell filtrering og justering'!$I$2,P45,(K45-Q45))</f>
        <v>1</v>
      </c>
      <c r="T45" s="303">
        <f>(BP_35/Tra_Credits)*Tra02_credits</f>
        <v>1.1111111111111112E-2</v>
      </c>
      <c r="U45" s="303">
        <f>(Tra02_06/Tra02_credits)*Tra02_user</f>
        <v>0</v>
      </c>
      <c r="W45" s="528">
        <f>'Assessment Issue Scoring'!E663</f>
        <v>0</v>
      </c>
      <c r="X45" s="304"/>
      <c r="Y45" s="304"/>
      <c r="AA45" s="470"/>
      <c r="AB45" s="471"/>
      <c r="AC45" s="471"/>
      <c r="AD45" s="471"/>
      <c r="AE45" s="472"/>
      <c r="AF45" s="267"/>
      <c r="AG45" s="470"/>
      <c r="AH45" s="471"/>
      <c r="AI45" s="471"/>
      <c r="AJ45" s="471"/>
      <c r="AK45" s="472"/>
      <c r="AM45" s="322"/>
      <c r="AN45" s="323"/>
      <c r="AO45" s="323"/>
      <c r="AP45" s="323"/>
      <c r="AQ45" s="324">
        <f t="shared" si="1"/>
        <v>0</v>
      </c>
      <c r="AR45" s="316">
        <f t="shared" si="10"/>
        <v>9</v>
      </c>
      <c r="AS45" s="299" t="str">
        <f t="shared" si="38"/>
        <v>N/A</v>
      </c>
      <c r="AT45" s="319"/>
      <c r="AU45" s="316">
        <f t="shared" si="39"/>
        <v>9</v>
      </c>
      <c r="AV45" s="299" t="str">
        <f t="shared" si="40"/>
        <v>N/A</v>
      </c>
      <c r="AW45" s="319"/>
      <c r="AX45" s="316">
        <f t="shared" si="41"/>
        <v>9</v>
      </c>
      <c r="AY45" s="299" t="str">
        <f t="shared" si="42"/>
        <v>N/A</v>
      </c>
      <c r="AZ45" s="319"/>
    </row>
    <row r="46" spans="1:60" x14ac:dyDescent="0.25">
      <c r="A46" s="529">
        <v>39</v>
      </c>
      <c r="B46" s="529"/>
      <c r="C46" s="363" t="s">
        <v>163</v>
      </c>
      <c r="D46" s="374" t="s">
        <v>159</v>
      </c>
      <c r="E46" s="312">
        <v>2</v>
      </c>
      <c r="F46" s="312">
        <v>2</v>
      </c>
      <c r="G46" s="312">
        <v>2</v>
      </c>
      <c r="H46" s="312">
        <v>2</v>
      </c>
      <c r="I46" s="313">
        <v>2</v>
      </c>
      <c r="K46" s="362">
        <f t="shared" si="37"/>
        <v>2</v>
      </c>
      <c r="L46" s="298"/>
      <c r="M46" s="299"/>
      <c r="N46" s="299"/>
      <c r="O46" s="299">
        <f>'Manuell filtrering og justering'!D44</f>
        <v>0</v>
      </c>
      <c r="P46" s="300">
        <f>VLOOKUP(C46,'Manuell filtrering og justering'!$A$7:$G$97,'Manuell filtrering og justering'!$G$1,FALSE)</f>
        <v>2</v>
      </c>
      <c r="Q46" s="301">
        <f t="shared" si="43"/>
        <v>0</v>
      </c>
      <c r="R46" s="302">
        <f>IF($S$4='Manuell filtrering og justering'!$I$2,P46,(K46-Q46))</f>
        <v>2</v>
      </c>
      <c r="T46" s="303">
        <f>(BP_35/Tra_Credits)*Tra03_credits</f>
        <v>2.2222222222222223E-2</v>
      </c>
      <c r="U46" s="303">
        <f>(Tra03_13/Tra03_credits)*Tra03_user</f>
        <v>0</v>
      </c>
      <c r="W46" s="528">
        <f>'Assessment Issue Scoring'!E688</f>
        <v>0</v>
      </c>
      <c r="X46" s="304"/>
      <c r="Y46" s="304"/>
      <c r="AA46" s="470"/>
      <c r="AB46" s="471"/>
      <c r="AC46" s="471"/>
      <c r="AD46" s="471"/>
      <c r="AE46" s="472"/>
      <c r="AF46" s="267"/>
      <c r="AG46" s="470"/>
      <c r="AH46" s="471"/>
      <c r="AI46" s="471"/>
      <c r="AJ46" s="471"/>
      <c r="AK46" s="472"/>
      <c r="AM46" s="322"/>
      <c r="AN46" s="323"/>
      <c r="AO46" s="323"/>
      <c r="AP46" s="323"/>
      <c r="AQ46" s="324">
        <f t="shared" si="1"/>
        <v>0</v>
      </c>
      <c r="AR46" s="316">
        <f t="shared" si="10"/>
        <v>9</v>
      </c>
      <c r="AS46" s="299" t="str">
        <f t="shared" si="38"/>
        <v>N/A</v>
      </c>
      <c r="AT46" s="319"/>
      <c r="AU46" s="316">
        <f t="shared" si="39"/>
        <v>9</v>
      </c>
      <c r="AV46" s="299" t="str">
        <f t="shared" si="40"/>
        <v>N/A</v>
      </c>
      <c r="AW46" s="319"/>
      <c r="AX46" s="316">
        <f t="shared" si="41"/>
        <v>9</v>
      </c>
      <c r="AY46" s="299" t="str">
        <f t="shared" si="42"/>
        <v>N/A</v>
      </c>
      <c r="AZ46" s="319"/>
    </row>
    <row r="47" spans="1:60" x14ac:dyDescent="0.25">
      <c r="A47" s="529">
        <v>40</v>
      </c>
      <c r="B47" s="529"/>
      <c r="C47" s="363" t="s">
        <v>164</v>
      </c>
      <c r="D47" s="374" t="s">
        <v>158</v>
      </c>
      <c r="E47" s="312">
        <v>2</v>
      </c>
      <c r="F47" s="312"/>
      <c r="G47" s="312"/>
      <c r="H47" s="312">
        <v>2</v>
      </c>
      <c r="I47" s="313">
        <v>2</v>
      </c>
      <c r="K47" s="362">
        <f t="shared" si="37"/>
        <v>2</v>
      </c>
      <c r="L47" s="298"/>
      <c r="M47" s="299"/>
      <c r="N47" s="299"/>
      <c r="O47" s="299">
        <f>'Manuell filtrering og justering'!D45</f>
        <v>0</v>
      </c>
      <c r="P47" s="300">
        <f>VLOOKUP(C47,'Manuell filtrering og justering'!$A$7:$G$97,'Manuell filtrering og justering'!$G$1,FALSE)</f>
        <v>2</v>
      </c>
      <c r="Q47" s="301">
        <f t="shared" si="43"/>
        <v>0</v>
      </c>
      <c r="R47" s="302">
        <f>IF($S$4='Manuell filtrering og justering'!$I$2,P47,(K47-Q47))</f>
        <v>2</v>
      </c>
      <c r="T47" s="303">
        <f>(BP_35/Tra_Credits)*Tra04_credits</f>
        <v>2.2222222222222223E-2</v>
      </c>
      <c r="U47" s="303">
        <f>IFERROR((Tra04_09/Tra04_credits)*Tra04_user,0)</f>
        <v>0</v>
      </c>
      <c r="W47" s="528">
        <f>'Assessment Issue Scoring'!E711</f>
        <v>0</v>
      </c>
      <c r="X47" s="304"/>
      <c r="Y47" s="304"/>
      <c r="AA47" s="470"/>
      <c r="AB47" s="471"/>
      <c r="AC47" s="471"/>
      <c r="AD47" s="471"/>
      <c r="AE47" s="472"/>
      <c r="AF47" s="267"/>
      <c r="AG47" s="470"/>
      <c r="AH47" s="471"/>
      <c r="AI47" s="471"/>
      <c r="AJ47" s="471"/>
      <c r="AK47" s="472"/>
      <c r="AM47" s="322"/>
      <c r="AN47" s="323"/>
      <c r="AO47" s="323"/>
      <c r="AP47" s="323"/>
      <c r="AQ47" s="324">
        <f t="shared" si="1"/>
        <v>0</v>
      </c>
      <c r="AR47" s="316">
        <f t="shared" si="10"/>
        <v>9</v>
      </c>
      <c r="AS47" s="299" t="str">
        <f t="shared" si="38"/>
        <v>N/A</v>
      </c>
      <c r="AT47" s="319"/>
      <c r="AU47" s="316">
        <f t="shared" si="39"/>
        <v>9</v>
      </c>
      <c r="AV47" s="299" t="str">
        <f t="shared" si="40"/>
        <v>N/A</v>
      </c>
      <c r="AW47" s="319"/>
      <c r="AX47" s="316">
        <f t="shared" si="41"/>
        <v>9</v>
      </c>
      <c r="AY47" s="299" t="str">
        <f t="shared" si="42"/>
        <v>N/A</v>
      </c>
      <c r="AZ47" s="319"/>
    </row>
    <row r="48" spans="1:60" x14ac:dyDescent="0.25">
      <c r="A48" s="529">
        <v>41</v>
      </c>
      <c r="B48" s="529"/>
      <c r="C48" s="363" t="s">
        <v>165</v>
      </c>
      <c r="D48" s="374" t="s">
        <v>160</v>
      </c>
      <c r="E48" s="312">
        <v>1</v>
      </c>
      <c r="F48" s="312">
        <v>1</v>
      </c>
      <c r="G48" s="312"/>
      <c r="H48" s="312">
        <v>1</v>
      </c>
      <c r="I48" s="313">
        <v>1</v>
      </c>
      <c r="K48" s="362">
        <f t="shared" si="37"/>
        <v>1</v>
      </c>
      <c r="L48" s="298"/>
      <c r="M48" s="299"/>
      <c r="N48" s="299"/>
      <c r="O48" s="299">
        <f>'Manuell filtrering og justering'!D46</f>
        <v>0</v>
      </c>
      <c r="P48" s="300">
        <f>VLOOKUP(C48,'Manuell filtrering og justering'!$A$7:$G$97,'Manuell filtrering og justering'!$G$1,FALSE)</f>
        <v>1</v>
      </c>
      <c r="Q48" s="301">
        <f t="shared" si="43"/>
        <v>0</v>
      </c>
      <c r="R48" s="302">
        <f>IF($S$4='Manuell filtrering og justering'!$I$2,P48,(K48-Q48))</f>
        <v>1</v>
      </c>
      <c r="T48" s="303">
        <f>(BP_35/Tra_Credits)*Tra05_credits</f>
        <v>1.1111111111111112E-2</v>
      </c>
      <c r="U48" s="303">
        <f>IFERROR((Tra05_04/Tra05_credits)*Tra05_user,0)</f>
        <v>0</v>
      </c>
      <c r="W48" s="528">
        <f>'Assessment Issue Scoring'!E731</f>
        <v>0</v>
      </c>
      <c r="X48" s="304"/>
      <c r="Y48" s="304"/>
      <c r="AA48" s="470"/>
      <c r="AB48" s="471"/>
      <c r="AC48" s="471"/>
      <c r="AD48" s="471"/>
      <c r="AE48" s="472"/>
      <c r="AF48" s="267"/>
      <c r="AG48" s="470"/>
      <c r="AH48" s="471"/>
      <c r="AI48" s="471"/>
      <c r="AJ48" s="471"/>
      <c r="AK48" s="472"/>
      <c r="AM48" s="322"/>
      <c r="AN48" s="323"/>
      <c r="AO48" s="323"/>
      <c r="AP48" s="323"/>
      <c r="AQ48" s="324">
        <f>IF($D$5=$G$8,AK48,AE48)</f>
        <v>0</v>
      </c>
      <c r="AR48" s="316">
        <f t="shared" si="10"/>
        <v>9</v>
      </c>
      <c r="AS48" s="299" t="str">
        <f t="shared" si="38"/>
        <v>N/A</v>
      </c>
      <c r="AT48" s="319"/>
      <c r="AU48" s="316">
        <f t="shared" si="39"/>
        <v>9</v>
      </c>
      <c r="AV48" s="299" t="str">
        <f t="shared" si="40"/>
        <v>N/A</v>
      </c>
      <c r="AW48" s="319"/>
      <c r="AX48" s="316">
        <f t="shared" si="41"/>
        <v>9</v>
      </c>
      <c r="AY48" s="299" t="str">
        <f t="shared" si="42"/>
        <v>N/A</v>
      </c>
      <c r="AZ48" s="319"/>
    </row>
    <row r="49" spans="1:52" ht="15.75" thickBot="1" x14ac:dyDescent="0.3">
      <c r="A49" s="529">
        <v>42</v>
      </c>
      <c r="B49" s="529"/>
      <c r="C49" s="604" t="s">
        <v>847</v>
      </c>
      <c r="D49" s="605" t="s">
        <v>848</v>
      </c>
      <c r="E49" s="375"/>
      <c r="F49" s="375"/>
      <c r="G49" s="375">
        <v>1</v>
      </c>
      <c r="H49" s="375"/>
      <c r="I49" s="376"/>
      <c r="K49" s="606">
        <f t="shared" si="37"/>
        <v>0</v>
      </c>
      <c r="L49" s="326"/>
      <c r="M49" s="327"/>
      <c r="N49" s="327"/>
      <c r="O49" s="299">
        <f>'Manuell filtrering og justering'!D47</f>
        <v>0</v>
      </c>
      <c r="P49" s="300">
        <f>VLOOKUP(C49,'Manuell filtrering og justering'!$A$7:$G$97,'Manuell filtrering og justering'!$G$1,FALSE)</f>
        <v>0</v>
      </c>
      <c r="Q49" s="301">
        <f t="shared" si="43"/>
        <v>0</v>
      </c>
      <c r="R49" s="302">
        <f>IF($S$4='Manuell filtrering og justering'!$I$2,P49,(K49-Q49))</f>
        <v>0</v>
      </c>
      <c r="T49" s="303">
        <f>(BP_35/Tra_Credits)*Tra06_credits</f>
        <v>0</v>
      </c>
      <c r="U49" s="303">
        <f>IFERROR((Tra06_04/Tra06_credits)*Tra06_user,0)</f>
        <v>0</v>
      </c>
      <c r="W49" s="528">
        <f>'Assessment Issue Scoring'!E751</f>
        <v>0</v>
      </c>
      <c r="X49" s="304"/>
      <c r="Y49" s="304"/>
      <c r="AA49" s="473"/>
      <c r="AB49" s="474"/>
      <c r="AC49" s="474"/>
      <c r="AD49" s="474"/>
      <c r="AE49" s="475"/>
      <c r="AF49" s="267"/>
      <c r="AG49" s="473"/>
      <c r="AH49" s="474"/>
      <c r="AI49" s="474"/>
      <c r="AJ49" s="474"/>
      <c r="AK49" s="475"/>
      <c r="AM49" s="333"/>
      <c r="AN49" s="335"/>
      <c r="AO49" s="335"/>
      <c r="AP49" s="335"/>
      <c r="AQ49" s="336">
        <f>IF($D$5=$G$8,AK49,AE49)</f>
        <v>0</v>
      </c>
      <c r="AR49" s="337">
        <f t="shared" si="10"/>
        <v>9</v>
      </c>
      <c r="AS49" s="338" t="str">
        <f t="shared" si="38"/>
        <v>N/A</v>
      </c>
      <c r="AT49" s="339"/>
      <c r="AU49" s="337">
        <f t="shared" si="39"/>
        <v>9</v>
      </c>
      <c r="AV49" s="338" t="str">
        <f t="shared" si="40"/>
        <v>N/A</v>
      </c>
      <c r="AW49" s="339"/>
      <c r="AX49" s="337">
        <f t="shared" si="41"/>
        <v>9</v>
      </c>
      <c r="AY49" s="338" t="str">
        <f t="shared" si="42"/>
        <v>N/A</v>
      </c>
      <c r="AZ49" s="339"/>
    </row>
    <row r="50" spans="1:52" ht="15.75" thickBot="1" x14ac:dyDescent="0.3">
      <c r="A50" s="529">
        <v>43</v>
      </c>
      <c r="C50" s="340"/>
      <c r="D50" s="341" t="s">
        <v>231</v>
      </c>
      <c r="E50" s="341">
        <f>SUM(E44:E49)</f>
        <v>9</v>
      </c>
      <c r="F50" s="341">
        <f>SUM(F44:F49)</f>
        <v>9</v>
      </c>
      <c r="G50" s="341">
        <f>SUM(G44:G49)</f>
        <v>9</v>
      </c>
      <c r="H50" s="341">
        <f>SUM(H44:H49)</f>
        <v>9</v>
      </c>
      <c r="I50" s="342">
        <f>SUM(I44:I49)</f>
        <v>11</v>
      </c>
      <c r="K50" s="368">
        <f t="shared" si="37"/>
        <v>9</v>
      </c>
      <c r="L50" s="344"/>
      <c r="M50" s="345"/>
      <c r="N50" s="345"/>
      <c r="O50" s="345"/>
      <c r="P50" s="346"/>
      <c r="Q50" s="347">
        <f>SUM(Q44:Q49)</f>
        <v>0</v>
      </c>
      <c r="R50" s="369">
        <f>SUM(R44:R49)</f>
        <v>9</v>
      </c>
      <c r="T50" s="349">
        <f>SUM(T44:T49)</f>
        <v>0.1</v>
      </c>
      <c r="U50" s="349">
        <f>SUM(U44:U49)</f>
        <v>0</v>
      </c>
      <c r="W50" s="608">
        <f>SUM(W44:W49)</f>
        <v>0</v>
      </c>
      <c r="X50" s="25">
        <f>SUM(X44:X49)</f>
        <v>0</v>
      </c>
      <c r="Y50" s="25">
        <f>SUM(Y44:Y49)</f>
        <v>0</v>
      </c>
      <c r="AA50" s="267"/>
      <c r="AB50" s="267"/>
      <c r="AC50" s="267"/>
      <c r="AD50" s="267"/>
      <c r="AE50" s="267"/>
      <c r="AF50" s="267"/>
      <c r="AG50" s="267"/>
      <c r="AH50" s="267"/>
      <c r="AI50" s="267"/>
      <c r="AJ50" s="267"/>
      <c r="AK50" s="267"/>
      <c r="AM50" s="178"/>
      <c r="AN50" s="350"/>
      <c r="AO50" s="178"/>
      <c r="AP50" s="178"/>
      <c r="AQ50" s="178"/>
    </row>
    <row r="51" spans="1:52" ht="15.75" thickBot="1" x14ac:dyDescent="0.3">
      <c r="A51" s="529">
        <v>44</v>
      </c>
      <c r="W51" s="3"/>
      <c r="X51" s="3"/>
      <c r="Y51" s="3"/>
      <c r="AA51" s="267"/>
      <c r="AB51" s="267"/>
      <c r="AC51" s="267"/>
      <c r="AD51" s="267"/>
      <c r="AE51" s="267"/>
      <c r="AF51" s="267"/>
      <c r="AG51" s="267"/>
      <c r="AH51" s="267"/>
      <c r="AI51" s="267"/>
      <c r="AJ51" s="267"/>
      <c r="AK51" s="267"/>
      <c r="AM51" s="178"/>
      <c r="AN51" s="178"/>
      <c r="AO51" s="178"/>
      <c r="AP51" s="178"/>
      <c r="AQ51" s="178"/>
    </row>
    <row r="52" spans="1:52" ht="15.75" thickBot="1" x14ac:dyDescent="0.3">
      <c r="A52" s="529">
        <v>45</v>
      </c>
      <c r="C52" s="274"/>
      <c r="D52" s="275" t="s">
        <v>63</v>
      </c>
      <c r="E52" s="276" t="str">
        <f>$E$8</f>
        <v>Office</v>
      </c>
      <c r="F52" s="276" t="str">
        <f>$F$8</f>
        <v>Retail</v>
      </c>
      <c r="G52" s="276" t="str">
        <f>$G$8</f>
        <v>Residential</v>
      </c>
      <c r="H52" s="276" t="str">
        <f>$H$8</f>
        <v>Industrial</v>
      </c>
      <c r="I52" s="277" t="str">
        <f>$I$8</f>
        <v>Education</v>
      </c>
      <c r="K52" s="266" t="str">
        <f>$D$5</f>
        <v>Office</v>
      </c>
      <c r="L52" s="351"/>
      <c r="M52" s="352"/>
      <c r="N52" s="352"/>
      <c r="O52" s="352"/>
      <c r="P52" s="756" t="s">
        <v>1167</v>
      </c>
      <c r="Q52" s="281" t="s">
        <v>231</v>
      </c>
      <c r="R52" s="266"/>
      <c r="W52" s="71"/>
      <c r="X52" s="93"/>
      <c r="Y52" s="93"/>
      <c r="AA52" s="267"/>
      <c r="AB52" s="267"/>
      <c r="AC52" s="267"/>
      <c r="AD52" s="267"/>
      <c r="AE52" s="267"/>
      <c r="AF52" s="267"/>
      <c r="AG52" s="267"/>
      <c r="AH52" s="267"/>
      <c r="AI52" s="267"/>
      <c r="AJ52" s="267"/>
      <c r="AK52" s="267"/>
      <c r="AM52" s="178"/>
      <c r="AN52" s="178"/>
      <c r="AO52" s="178"/>
      <c r="AP52" s="178"/>
      <c r="AQ52" s="178"/>
    </row>
    <row r="53" spans="1:52" x14ac:dyDescent="0.25">
      <c r="A53" s="529">
        <v>46</v>
      </c>
      <c r="B53" s="529"/>
      <c r="C53" s="558" t="s">
        <v>185</v>
      </c>
      <c r="D53" s="559" t="s">
        <v>166</v>
      </c>
      <c r="E53" s="462">
        <v>5</v>
      </c>
      <c r="F53" s="462">
        <v>5</v>
      </c>
      <c r="G53" s="462">
        <v>5</v>
      </c>
      <c r="H53" s="462">
        <v>5</v>
      </c>
      <c r="I53" s="463">
        <v>5</v>
      </c>
      <c r="K53" s="353">
        <f>HLOOKUP($D$5,$E$8:$I$99,$A53,FALSE)</f>
        <v>5</v>
      </c>
      <c r="L53" s="298"/>
      <c r="M53" s="299"/>
      <c r="N53" s="299"/>
      <c r="O53" s="299">
        <f>'Manuell filtrering og justering'!D51</f>
        <v>0</v>
      </c>
      <c r="P53" s="300">
        <f>VLOOKUP(C53,'Manuell filtrering og justering'!$A$7:$G$97,'Manuell filtrering og justering'!$G$1,FALSE)</f>
        <v>5</v>
      </c>
      <c r="Q53" s="301">
        <f>IF(SUM(L53:O53)&gt;K53,K53,SUM(L53:O53))</f>
        <v>0</v>
      </c>
      <c r="R53" s="302">
        <f>IF($S$4='Manuell filtrering og justering'!$I$2,P53,(K53-Q53))</f>
        <v>5</v>
      </c>
      <c r="T53" s="303">
        <f>(BP_36/Wat__Credits)*Wat01_credits</f>
        <v>3.125E-2</v>
      </c>
      <c r="U53" s="303">
        <f>(Wat01_14/Wat01_credits)*Wat01_user</f>
        <v>0</v>
      </c>
      <c r="W53" s="528">
        <f>'Assessment Issue Scoring'!E787</f>
        <v>0</v>
      </c>
      <c r="X53" s="304"/>
      <c r="Y53" s="304"/>
      <c r="AA53" s="476"/>
      <c r="AB53" s="477"/>
      <c r="AC53" s="490"/>
      <c r="AD53" s="490">
        <v>1</v>
      </c>
      <c r="AE53" s="491">
        <v>2</v>
      </c>
      <c r="AF53" s="267"/>
      <c r="AG53" s="476"/>
      <c r="AH53" s="477"/>
      <c r="AI53" s="490"/>
      <c r="AJ53" s="490">
        <v>1</v>
      </c>
      <c r="AK53" s="491">
        <v>2</v>
      </c>
      <c r="AM53" s="359"/>
      <c r="AN53" s="360"/>
      <c r="AO53" s="360"/>
      <c r="AP53" s="360">
        <f>IF($D$5=$G$8,AJ53,AD53)</f>
        <v>1</v>
      </c>
      <c r="AQ53" s="361">
        <f>IF($D$5=$G$8,AK53,AE53)</f>
        <v>2</v>
      </c>
      <c r="AR53" s="307">
        <f t="shared" si="10"/>
        <v>3</v>
      </c>
      <c r="AS53" s="310" t="str">
        <f>VLOOKUP(AR53,$BB$8:$BC$14,2,FALSE)</f>
        <v>Very Good</v>
      </c>
      <c r="AT53" s="311"/>
      <c r="AU53" s="307">
        <f>IF(AQ53=0,9,IF(X53&gt;=AQ53,5,IF(X53&gt;=AP53,4,IF(X53&gt;=AO53,3,IF(X53&gt;=AN53,2,IF(X53&lt;AM53,0,1))))))</f>
        <v>3</v>
      </c>
      <c r="AV53" s="310" t="str">
        <f>VLOOKUP(AU53,$BB$8:$BC$14,2,FALSE)</f>
        <v>Very Good</v>
      </c>
      <c r="AW53" s="311"/>
      <c r="AX53" s="307">
        <f>IF(AQ53=0,9,IF(X53&gt;=AQ53,5,IF(X53&gt;=AP53,4,IF(X53&gt;=AO53,3,IF(X53&gt;=AN53,2,IF(X53&lt;AM53,0,1))))))</f>
        <v>3</v>
      </c>
      <c r="AY53" s="310" t="str">
        <f>VLOOKUP(AX53,$BB$8:$BC$14,2,FALSE)</f>
        <v>Very Good</v>
      </c>
      <c r="AZ53" s="311"/>
    </row>
    <row r="54" spans="1:52" x14ac:dyDescent="0.25">
      <c r="A54" s="529">
        <v>47</v>
      </c>
      <c r="B54" s="529"/>
      <c r="C54" s="363" t="s">
        <v>186</v>
      </c>
      <c r="D54" s="374" t="s">
        <v>167</v>
      </c>
      <c r="E54" s="312">
        <v>1</v>
      </c>
      <c r="F54" s="312">
        <v>1</v>
      </c>
      <c r="G54" s="312">
        <v>1</v>
      </c>
      <c r="H54" s="312">
        <v>1</v>
      </c>
      <c r="I54" s="313">
        <v>1</v>
      </c>
      <c r="K54" s="362">
        <f>HLOOKUP($D$5,$E$8:$I$99,$A54,FALSE)</f>
        <v>1</v>
      </c>
      <c r="L54" s="298"/>
      <c r="M54" s="299"/>
      <c r="N54" s="299"/>
      <c r="O54" s="299">
        <f>'Manuell filtrering og justering'!D52</f>
        <v>0</v>
      </c>
      <c r="P54" s="300">
        <f>VLOOKUP(C54,'Manuell filtrering og justering'!$A$7:$G$97,'Manuell filtrering og justering'!$G$1,FALSE)</f>
        <v>1</v>
      </c>
      <c r="Q54" s="301">
        <f t="shared" ref="Q54:Q56" si="44">IF(SUM(L54:O54)&gt;K54,K54,SUM(L54:O54))</f>
        <v>0</v>
      </c>
      <c r="R54" s="302">
        <f>IF($S$4='Manuell filtrering og justering'!$I$2,P54,(K54-Q54))</f>
        <v>1</v>
      </c>
      <c r="T54" s="303">
        <f>(BP_36/Wat__Credits)*Wat02_credits</f>
        <v>6.2500000000000003E-3</v>
      </c>
      <c r="U54" s="303">
        <f>(Wat02_12/Wat02_credits)*Wat02_user</f>
        <v>0</v>
      </c>
      <c r="W54" s="528">
        <f>'Assessment Issue Scoring'!E810</f>
        <v>0</v>
      </c>
      <c r="X54" s="304"/>
      <c r="Y54" s="304"/>
      <c r="AA54" s="470"/>
      <c r="AB54" s="471"/>
      <c r="AC54" s="471"/>
      <c r="AD54" s="471"/>
      <c r="AE54" s="472"/>
      <c r="AF54" s="267"/>
      <c r="AG54" s="470"/>
      <c r="AH54" s="471"/>
      <c r="AI54" s="471"/>
      <c r="AJ54" s="471"/>
      <c r="AK54" s="472"/>
      <c r="AM54" s="322"/>
      <c r="AN54" s="323"/>
      <c r="AO54" s="323"/>
      <c r="AP54" s="323"/>
      <c r="AQ54" s="324">
        <f t="shared" si="1"/>
        <v>0</v>
      </c>
      <c r="AR54" s="316">
        <f t="shared" si="10"/>
        <v>9</v>
      </c>
      <c r="AS54" s="299" t="str">
        <f>VLOOKUP(AR54,$BB$8:$BC$14,2,FALSE)</f>
        <v>N/A</v>
      </c>
      <c r="AT54" s="319"/>
      <c r="AU54" s="316">
        <f>IF(AQ54=0,9,IF(X54&gt;=AQ54,5,IF(X54&gt;=AP54,4,IF(X54&gt;=AO54,3,IF(X54&gt;=AN54,2,IF(X54&lt;AM54,0,1))))))</f>
        <v>9</v>
      </c>
      <c r="AV54" s="299" t="str">
        <f>VLOOKUP(AU54,$BB$8:$BC$14,2,FALSE)</f>
        <v>N/A</v>
      </c>
      <c r="AW54" s="319"/>
      <c r="AX54" s="316">
        <f>IF(AQ54=0,9,IF(X54&gt;=AQ54,5,IF(X54&gt;=AP54,4,IF(X54&gt;=AO54,3,IF(X54&gt;=AN54,2,IF(X54&lt;AM54,0,1))))))</f>
        <v>9</v>
      </c>
      <c r="AY54" s="299" t="str">
        <f>VLOOKUP(AX54,$BB$8:$BC$14,2,FALSE)</f>
        <v>N/A</v>
      </c>
      <c r="AZ54" s="319"/>
    </row>
    <row r="55" spans="1:52" x14ac:dyDescent="0.25">
      <c r="A55" s="529">
        <v>48</v>
      </c>
      <c r="B55" s="529"/>
      <c r="C55" s="363" t="s">
        <v>187</v>
      </c>
      <c r="D55" s="374" t="s">
        <v>168</v>
      </c>
      <c r="E55" s="312">
        <v>2</v>
      </c>
      <c r="F55" s="312">
        <v>2</v>
      </c>
      <c r="G55" s="312"/>
      <c r="H55" s="312">
        <v>2</v>
      </c>
      <c r="I55" s="313">
        <v>2</v>
      </c>
      <c r="K55" s="362">
        <f>HLOOKUP($D$5,$E$8:$I$99,$A55,FALSE)</f>
        <v>2</v>
      </c>
      <c r="L55" s="298"/>
      <c r="M55" s="299"/>
      <c r="N55" s="299"/>
      <c r="O55" s="299">
        <f>'Manuell filtrering og justering'!D53</f>
        <v>0</v>
      </c>
      <c r="P55" s="300">
        <f>VLOOKUP(C55,'Manuell filtrering og justering'!$A$7:$G$97,'Manuell filtrering og justering'!$G$1,FALSE)</f>
        <v>2</v>
      </c>
      <c r="Q55" s="301">
        <f t="shared" si="44"/>
        <v>0</v>
      </c>
      <c r="R55" s="302">
        <f>IF($S$4='Manuell filtrering og justering'!$I$2,P55,(K55-Q55))</f>
        <v>2</v>
      </c>
      <c r="T55" s="303">
        <f>(BP_36/Wat__Credits)*Wat03_credits</f>
        <v>1.2500000000000001E-2</v>
      </c>
      <c r="U55" s="303">
        <f>IFERROR((Wat03_09/Wat03_credits)*Wat03_user,0)</f>
        <v>0</v>
      </c>
      <c r="W55" s="528">
        <f>'Assessment Issue Scoring'!E831</f>
        <v>0</v>
      </c>
      <c r="X55" s="304"/>
      <c r="Y55" s="304"/>
      <c r="AA55" s="470"/>
      <c r="AB55" s="471"/>
      <c r="AC55" s="471"/>
      <c r="AD55" s="471"/>
      <c r="AE55" s="472"/>
      <c r="AF55" s="267"/>
      <c r="AG55" s="470"/>
      <c r="AH55" s="471"/>
      <c r="AI55" s="471"/>
      <c r="AJ55" s="471"/>
      <c r="AK55" s="472"/>
      <c r="AM55" s="322"/>
      <c r="AN55" s="323"/>
      <c r="AO55" s="323"/>
      <c r="AP55" s="323"/>
      <c r="AQ55" s="324">
        <f t="shared" si="1"/>
        <v>0</v>
      </c>
      <c r="AR55" s="316">
        <f t="shared" si="10"/>
        <v>9</v>
      </c>
      <c r="AS55" s="299" t="str">
        <f>VLOOKUP(AR55,$BB$8:$BC$14,2,FALSE)</f>
        <v>N/A</v>
      </c>
      <c r="AT55" s="319"/>
      <c r="AU55" s="316">
        <f>IF(AQ55=0,9,IF(X55&gt;=AQ55,5,IF(X55&gt;=AP55,4,IF(X55&gt;=AO55,3,IF(X55&gt;=AN55,2,IF(X55&lt;AM55,0,1))))))</f>
        <v>9</v>
      </c>
      <c r="AV55" s="299" t="str">
        <f>VLOOKUP(AU55,$BB$8:$BC$14,2,FALSE)</f>
        <v>N/A</v>
      </c>
      <c r="AW55" s="319"/>
      <c r="AX55" s="316">
        <f>IF(AQ55=0,9,IF(X55&gt;=AQ55,5,IF(X55&gt;=AP55,4,IF(X55&gt;=AO55,3,IF(X55&gt;=AN55,2,IF(X55&lt;AM55,0,1))))))</f>
        <v>9</v>
      </c>
      <c r="AY55" s="299" t="str">
        <f>VLOOKUP(AX55,$BB$8:$BC$14,2,FALSE)</f>
        <v>N/A</v>
      </c>
      <c r="AZ55" s="319"/>
    </row>
    <row r="56" spans="1:52" ht="15.75" thickBot="1" x14ac:dyDescent="0.3">
      <c r="A56" s="529">
        <v>49</v>
      </c>
      <c r="B56" s="529"/>
      <c r="C56" s="363" t="s">
        <v>188</v>
      </c>
      <c r="D56" s="374" t="s">
        <v>169</v>
      </c>
      <c r="E56" s="312">
        <v>1</v>
      </c>
      <c r="F56" s="312">
        <v>1</v>
      </c>
      <c r="G56" s="312">
        <v>1</v>
      </c>
      <c r="H56" s="312">
        <v>1</v>
      </c>
      <c r="I56" s="313">
        <v>1</v>
      </c>
      <c r="K56" s="362">
        <f>HLOOKUP($D$5,$E$8:$I$99,$A56,FALSE)</f>
        <v>1</v>
      </c>
      <c r="L56" s="363">
        <f>IF(AND(AD_Vehiclewash=AD_no,AD_Landscape=AD_no),1,0)</f>
        <v>1</v>
      </c>
      <c r="M56" s="299"/>
      <c r="N56" s="299"/>
      <c r="O56" s="299">
        <f>'Manuell filtrering og justering'!D54</f>
        <v>0</v>
      </c>
      <c r="P56" s="300">
        <f>VLOOKUP(C56,'Manuell filtrering og justering'!$A$7:$G$97,'Manuell filtrering og justering'!$G$1,FALSE)</f>
        <v>0</v>
      </c>
      <c r="Q56" s="301">
        <f t="shared" si="44"/>
        <v>1</v>
      </c>
      <c r="R56" s="302">
        <f>IF($S$4='Manuell filtrering og justering'!$I$2,P56,(K56-Q56))</f>
        <v>0</v>
      </c>
      <c r="T56" s="303">
        <f>(BP_36/Wat__Credits)*Wat04_credits</f>
        <v>0</v>
      </c>
      <c r="U56" s="303">
        <f>IF(R56=0,0,(Wat04_05/Wat04_credits)*Wat04_user)</f>
        <v>0</v>
      </c>
      <c r="W56" s="528">
        <f>'Assessment Issue Scoring'!E851</f>
        <v>0</v>
      </c>
      <c r="X56" s="304"/>
      <c r="Y56" s="304"/>
      <c r="AA56" s="473"/>
      <c r="AB56" s="474"/>
      <c r="AC56" s="474"/>
      <c r="AD56" s="474"/>
      <c r="AE56" s="475"/>
      <c r="AF56" s="267"/>
      <c r="AG56" s="473"/>
      <c r="AH56" s="474"/>
      <c r="AI56" s="474"/>
      <c r="AJ56" s="474"/>
      <c r="AK56" s="475"/>
      <c r="AM56" s="333"/>
      <c r="AN56" s="335"/>
      <c r="AO56" s="335"/>
      <c r="AP56" s="335"/>
      <c r="AQ56" s="336">
        <f t="shared" si="1"/>
        <v>0</v>
      </c>
      <c r="AR56" s="337">
        <f t="shared" si="10"/>
        <v>9</v>
      </c>
      <c r="AS56" s="338" t="str">
        <f>VLOOKUP(AR56,$BB$8:$BC$14,2,FALSE)</f>
        <v>N/A</v>
      </c>
      <c r="AT56" s="339"/>
      <c r="AU56" s="337">
        <f>IF(AQ56=0,9,IF(X56&gt;=AQ56,5,IF(X56&gt;=AP56,4,IF(X56&gt;=AO56,3,IF(X56&gt;=AN56,2,IF(X56&lt;AM56,0,1))))))</f>
        <v>9</v>
      </c>
      <c r="AV56" s="338" t="str">
        <f>VLOOKUP(AU56,$BB$8:$BC$14,2,FALSE)</f>
        <v>N/A</v>
      </c>
      <c r="AW56" s="339"/>
      <c r="AX56" s="337">
        <f>IF(AQ56=0,9,IF(X56&gt;=AQ56,5,IF(X56&gt;=AP56,4,IF(X56&gt;=AO56,3,IF(X56&gt;=AN56,2,IF(X56&lt;AM56,0,1))))))</f>
        <v>9</v>
      </c>
      <c r="AY56" s="338" t="str">
        <f>VLOOKUP(AX56,$BB$8:$BC$14,2,FALSE)</f>
        <v>N/A</v>
      </c>
      <c r="AZ56" s="339"/>
    </row>
    <row r="57" spans="1:52" ht="15.75" thickBot="1" x14ac:dyDescent="0.3">
      <c r="A57" s="529">
        <v>50</v>
      </c>
      <c r="C57" s="340"/>
      <c r="D57" s="341" t="s">
        <v>231</v>
      </c>
      <c r="E57" s="341">
        <f>SUM(E53:E56)</f>
        <v>9</v>
      </c>
      <c r="F57" s="341">
        <f>SUM(F53:F56)</f>
        <v>9</v>
      </c>
      <c r="G57" s="341">
        <f>SUM(G53:G56)</f>
        <v>7</v>
      </c>
      <c r="H57" s="341">
        <f>SUM(H53:H56)</f>
        <v>9</v>
      </c>
      <c r="I57" s="342">
        <f>SUM(I53:I56)</f>
        <v>9</v>
      </c>
      <c r="K57" s="368">
        <f>HLOOKUP($D$5,$E$8:$I$99,$A57,FALSE)</f>
        <v>9</v>
      </c>
      <c r="L57" s="344"/>
      <c r="M57" s="345"/>
      <c r="N57" s="345"/>
      <c r="O57" s="345"/>
      <c r="P57" s="346"/>
      <c r="Q57" s="347">
        <f>SUM(Q53:Q56)</f>
        <v>1</v>
      </c>
      <c r="R57" s="369">
        <f>SUM(R53:R56)</f>
        <v>8</v>
      </c>
      <c r="T57" s="349">
        <f>SUM(T53:T56)</f>
        <v>0.05</v>
      </c>
      <c r="U57" s="349">
        <f>SUM(U53:U56)</f>
        <v>0</v>
      </c>
      <c r="W57" s="25">
        <f>SUM(W53:W56)</f>
        <v>0</v>
      </c>
      <c r="X57" s="25">
        <f t="shared" ref="X57:Y57" si="45">SUM(X53:X56)</f>
        <v>0</v>
      </c>
      <c r="Y57" s="25">
        <f t="shared" si="45"/>
        <v>0</v>
      </c>
      <c r="AA57" s="267"/>
      <c r="AB57" s="267"/>
      <c r="AC57" s="267"/>
      <c r="AD57" s="267"/>
      <c r="AE57" s="267"/>
      <c r="AF57" s="267"/>
      <c r="AG57" s="267"/>
      <c r="AH57" s="267"/>
      <c r="AI57" s="267"/>
      <c r="AJ57" s="267"/>
      <c r="AK57" s="267"/>
      <c r="AM57" s="178"/>
      <c r="AN57" s="350"/>
      <c r="AO57" s="178"/>
      <c r="AP57" s="178"/>
      <c r="AQ57" s="178"/>
    </row>
    <row r="58" spans="1:52" ht="15.75" thickBot="1" x14ac:dyDescent="0.3">
      <c r="A58" s="529">
        <v>51</v>
      </c>
      <c r="W58" s="1"/>
      <c r="X58" s="1"/>
      <c r="Y58" s="1"/>
      <c r="AA58" s="267"/>
      <c r="AB58" s="267"/>
      <c r="AC58" s="267"/>
      <c r="AD58" s="267"/>
      <c r="AE58" s="267"/>
      <c r="AF58" s="267"/>
      <c r="AG58" s="267"/>
      <c r="AH58" s="267"/>
      <c r="AI58" s="267"/>
      <c r="AJ58" s="267"/>
      <c r="AK58" s="267"/>
      <c r="AM58" s="178"/>
      <c r="AN58" s="178"/>
      <c r="AO58" s="178"/>
      <c r="AP58" s="178"/>
      <c r="AQ58" s="178"/>
    </row>
    <row r="59" spans="1:52" ht="15.75" thickBot="1" x14ac:dyDescent="0.3">
      <c r="A59" s="529">
        <v>52</v>
      </c>
      <c r="C59" s="274"/>
      <c r="D59" s="275" t="s">
        <v>72</v>
      </c>
      <c r="E59" s="276" t="str">
        <f>$E$8</f>
        <v>Office</v>
      </c>
      <c r="F59" s="276" t="str">
        <f>$F$8</f>
        <v>Retail</v>
      </c>
      <c r="G59" s="276" t="str">
        <f>$G$8</f>
        <v>Residential</v>
      </c>
      <c r="H59" s="276" t="str">
        <f>$H$8</f>
        <v>Industrial</v>
      </c>
      <c r="I59" s="277" t="str">
        <f>$I$8</f>
        <v>Education</v>
      </c>
      <c r="K59" s="266" t="str">
        <f>$D$5</f>
        <v>Office</v>
      </c>
      <c r="L59" s="351"/>
      <c r="M59" s="352"/>
      <c r="N59" s="352"/>
      <c r="O59" s="352"/>
      <c r="P59" s="756" t="s">
        <v>1167</v>
      </c>
      <c r="Q59" s="281" t="s">
        <v>231</v>
      </c>
      <c r="R59" s="266"/>
      <c r="W59" s="71"/>
      <c r="X59" s="93"/>
      <c r="Y59" s="93"/>
      <c r="AA59" s="267"/>
      <c r="AB59" s="267"/>
      <c r="AC59" s="267"/>
      <c r="AD59" s="267"/>
      <c r="AE59" s="267"/>
      <c r="AF59" s="267"/>
      <c r="AG59" s="267"/>
      <c r="AH59" s="267"/>
      <c r="AI59" s="267"/>
      <c r="AJ59" s="267"/>
      <c r="AK59" s="267"/>
      <c r="AM59" s="178"/>
      <c r="AN59" s="178"/>
      <c r="AO59" s="178"/>
      <c r="AP59" s="178"/>
      <c r="AQ59" s="178"/>
    </row>
    <row r="60" spans="1:52" x14ac:dyDescent="0.25">
      <c r="A60" s="529">
        <v>53</v>
      </c>
      <c r="B60" s="529"/>
      <c r="C60" s="558" t="s">
        <v>189</v>
      </c>
      <c r="D60" s="559" t="s">
        <v>170</v>
      </c>
      <c r="E60" s="295">
        <v>7</v>
      </c>
      <c r="F60" s="295">
        <v>7</v>
      </c>
      <c r="G60" s="295">
        <v>7</v>
      </c>
      <c r="H60" s="295">
        <v>7</v>
      </c>
      <c r="I60" s="296">
        <v>7</v>
      </c>
      <c r="K60" s="353">
        <f>HLOOKUP($D$5,$E$8:$I$99,$A60,FALSE)</f>
        <v>7</v>
      </c>
      <c r="L60" s="298"/>
      <c r="M60" s="299"/>
      <c r="N60" s="299"/>
      <c r="O60" s="299">
        <f>'Manuell filtrering og justering'!D58</f>
        <v>0</v>
      </c>
      <c r="P60" s="300">
        <f>VLOOKUP(C60,'Manuell filtrering og justering'!$A$7:$G$97,'Manuell filtrering og justering'!$G$1,FALSE)</f>
        <v>7</v>
      </c>
      <c r="Q60" s="301">
        <f>IF(SUM(L60:O60)&gt;K60,K60,SUM(L60:O60))</f>
        <v>0</v>
      </c>
      <c r="R60" s="302">
        <f>IF($S$4='Manuell filtrering og justering'!$I$2,P60,(K60-Q60))</f>
        <v>7</v>
      </c>
      <c r="T60" s="303">
        <f>(BP_38/Mat_Credits)*Mat01_credits</f>
        <v>8.5909090909090921E-2</v>
      </c>
      <c r="U60" s="303">
        <f>(Mat01_27/Mat01_credits)*Mat01_user</f>
        <v>0</v>
      </c>
      <c r="W60" s="528">
        <f>'Assessment Issue Scoring'!E896</f>
        <v>0</v>
      </c>
      <c r="X60" s="304"/>
      <c r="Y60" s="304"/>
      <c r="AA60" s="476"/>
      <c r="AB60" s="477"/>
      <c r="AC60" s="477"/>
      <c r="AD60" s="477"/>
      <c r="AE60" s="478"/>
      <c r="AF60" s="267"/>
      <c r="AG60" s="476"/>
      <c r="AH60" s="477"/>
      <c r="AI60" s="477"/>
      <c r="AJ60" s="477"/>
      <c r="AK60" s="478"/>
      <c r="AM60" s="359"/>
      <c r="AN60" s="360"/>
      <c r="AO60" s="360"/>
      <c r="AP60" s="360"/>
      <c r="AQ60" s="361">
        <f t="shared" si="1"/>
        <v>0</v>
      </c>
      <c r="AR60" s="307">
        <f t="shared" ref="AR60" si="46">IF(AQ60=0,9,IF(W60&gt;=AQ60,5,IF(W60&gt;=AP60,4,IF(W60&gt;=AO60,3,IF(W60&gt;=AN60,2,IF(W60&lt;AM60,0,1))))))</f>
        <v>9</v>
      </c>
      <c r="AS60" s="310" t="str">
        <f>VLOOKUP(AR60,$BB$8:$BC$14,2,FALSE)</f>
        <v>N/A</v>
      </c>
      <c r="AT60" s="311"/>
      <c r="AU60" s="307">
        <f>IF(AQ60=0,9,IF(X60&gt;=AQ60,5,IF(X60&gt;=AP60,4,IF(X60&gt;=AO60,3,IF(X60&gt;=AN60,2,IF(X60&lt;AM60,0,1))))))</f>
        <v>9</v>
      </c>
      <c r="AV60" s="310" t="str">
        <f>VLOOKUP(AU60,$BB$8:$BC$14,2,FALSE)</f>
        <v>N/A</v>
      </c>
      <c r="AW60" s="311"/>
      <c r="AX60" s="307">
        <f>IF(AQ60=0,9,IF(X60&gt;=AQ60,5,IF(X60&gt;=AP60,4,IF(X60&gt;=AO60,3,IF(X60&gt;=AN60,2,IF(X60&lt;AM60,0,1))))))</f>
        <v>9</v>
      </c>
      <c r="AY60" s="310" t="str">
        <f>VLOOKUP(AX60,$BB$8:$BC$14,2,FALSE)</f>
        <v>N/A</v>
      </c>
      <c r="AZ60" s="311"/>
    </row>
    <row r="61" spans="1:52" x14ac:dyDescent="0.25">
      <c r="A61" s="529">
        <v>54</v>
      </c>
      <c r="B61" s="529"/>
      <c r="C61" s="363" t="s">
        <v>190</v>
      </c>
      <c r="D61" s="374" t="s">
        <v>171</v>
      </c>
      <c r="E61" s="461">
        <v>3</v>
      </c>
      <c r="F61" s="461">
        <v>3</v>
      </c>
      <c r="G61" s="461">
        <v>3</v>
      </c>
      <c r="H61" s="461">
        <v>3</v>
      </c>
      <c r="I61" s="465">
        <v>3</v>
      </c>
      <c r="K61" s="362">
        <f>HLOOKUP($D$5,$E$8:$I$99,$A61,FALSE)</f>
        <v>3</v>
      </c>
      <c r="L61" s="298"/>
      <c r="M61" s="299"/>
      <c r="N61" s="299"/>
      <c r="O61" s="299">
        <f>'Manuell filtrering og justering'!D59</f>
        <v>0</v>
      </c>
      <c r="P61" s="300">
        <f>VLOOKUP(C61,'Manuell filtrering og justering'!$A$7:$G$97,'Manuell filtrering og justering'!$G$1,FALSE)</f>
        <v>3</v>
      </c>
      <c r="Q61" s="301">
        <f t="shared" ref="Q61:Q63" si="47">IF(SUM(L61:O61)&gt;K61,K61,SUM(L61:O61))</f>
        <v>0</v>
      </c>
      <c r="R61" s="302">
        <f>IF($S$4='Manuell filtrering og justering'!$I$2,P61,(K61-Q61))</f>
        <v>3</v>
      </c>
      <c r="T61" s="303">
        <f>(BP_38/Mat_Credits)*Mat03_credits</f>
        <v>3.6818181818181819E-2</v>
      </c>
      <c r="U61" s="303">
        <f>(Mat03_37/Mat03_credits)*Mat03_user</f>
        <v>0</v>
      </c>
      <c r="W61" s="528">
        <f>'Assessment Issue Scoring'!E927</f>
        <v>0</v>
      </c>
      <c r="X61" s="304"/>
      <c r="Y61" s="304"/>
      <c r="AA61" s="470"/>
      <c r="AB61" s="471"/>
      <c r="AC61" s="471"/>
      <c r="AD61" s="471"/>
      <c r="AE61" s="472"/>
      <c r="AF61" s="267"/>
      <c r="AG61" s="470"/>
      <c r="AH61" s="471"/>
      <c r="AI61" s="471"/>
      <c r="AJ61" s="471"/>
      <c r="AK61" s="472"/>
      <c r="AM61" s="322"/>
      <c r="AN61" s="323"/>
      <c r="AO61" s="323"/>
      <c r="AP61" s="323"/>
      <c r="AQ61" s="324">
        <f t="shared" si="1"/>
        <v>0</v>
      </c>
      <c r="AR61" s="316">
        <f t="shared" si="10"/>
        <v>9</v>
      </c>
      <c r="AS61" s="299" t="str">
        <f>VLOOKUP(AR61,$BB$8:$BC$14,2,FALSE)</f>
        <v>N/A</v>
      </c>
      <c r="AT61" s="319"/>
      <c r="AU61" s="316">
        <f>IF(AQ61=0,9,IF(X61&gt;=AQ61,5,IF(X61&gt;=AP61,4,IF(X61&gt;=AO61,3,IF(X61&gt;=AN61,2,IF(X61&lt;AM61,0,1))))))</f>
        <v>9</v>
      </c>
      <c r="AV61" s="299" t="str">
        <f>VLOOKUP(AU61,$BB$8:$BC$14,2,FALSE)</f>
        <v>N/A</v>
      </c>
      <c r="AW61" s="319"/>
      <c r="AX61" s="316">
        <f>IF(AQ61=0,9,IF(X61&gt;=AQ61,5,IF(X61&gt;=AP61,4,IF(X61&gt;=AO61,3,IF(X61&gt;=AN61,2,IF(X61&lt;AM61,0,1))))))</f>
        <v>9</v>
      </c>
      <c r="AY61" s="299" t="str">
        <f>VLOOKUP(AX61,$BB$8:$BC$14,2,FALSE)</f>
        <v>N/A</v>
      </c>
      <c r="AZ61" s="319"/>
    </row>
    <row r="62" spans="1:52" x14ac:dyDescent="0.25">
      <c r="A62" s="529">
        <v>55</v>
      </c>
      <c r="B62" s="529"/>
      <c r="C62" s="363" t="s">
        <v>191</v>
      </c>
      <c r="D62" s="374" t="s">
        <v>172</v>
      </c>
      <c r="E62" s="312">
        <v>1</v>
      </c>
      <c r="F62" s="312">
        <v>1</v>
      </c>
      <c r="G62" s="312">
        <v>1</v>
      </c>
      <c r="H62" s="312">
        <v>1</v>
      </c>
      <c r="I62" s="313">
        <v>1</v>
      </c>
      <c r="K62" s="362">
        <f>HLOOKUP($D$5,$E$8:$I$99,$A62,FALSE)</f>
        <v>1</v>
      </c>
      <c r="L62" s="298"/>
      <c r="M62" s="299"/>
      <c r="N62" s="299"/>
      <c r="O62" s="299">
        <f>'Manuell filtrering og justering'!D60</f>
        <v>0</v>
      </c>
      <c r="P62" s="300">
        <f>VLOOKUP(C62,'Manuell filtrering og justering'!$A$7:$G$97,'Manuell filtrering og justering'!$G$1,FALSE)</f>
        <v>1</v>
      </c>
      <c r="Q62" s="301">
        <f t="shared" si="47"/>
        <v>0</v>
      </c>
      <c r="R62" s="302">
        <f>IF($S$4='Manuell filtrering og justering'!$I$2,P62,(K62-Q62))</f>
        <v>1</v>
      </c>
      <c r="T62" s="303">
        <f>(BP_38/Mat_Credits)*Mat05_credits</f>
        <v>1.2272727272727274E-2</v>
      </c>
      <c r="U62" s="303">
        <f>(Mat05_05/Mat05_credits)*Mat05_user</f>
        <v>0</v>
      </c>
      <c r="W62" s="528">
        <f>'Assessment Issue Scoring'!E947</f>
        <v>0</v>
      </c>
      <c r="X62" s="304"/>
      <c r="Y62" s="304"/>
      <c r="AA62" s="470"/>
      <c r="AB62" s="471"/>
      <c r="AC62" s="471"/>
      <c r="AD62" s="471"/>
      <c r="AE62" s="472"/>
      <c r="AF62" s="267"/>
      <c r="AG62" s="470"/>
      <c r="AH62" s="471"/>
      <c r="AI62" s="471"/>
      <c r="AJ62" s="471"/>
      <c r="AK62" s="472"/>
      <c r="AM62" s="322"/>
      <c r="AN62" s="323"/>
      <c r="AO62" s="323"/>
      <c r="AP62" s="323"/>
      <c r="AQ62" s="324">
        <f t="shared" si="1"/>
        <v>0</v>
      </c>
      <c r="AR62" s="316">
        <f t="shared" si="10"/>
        <v>9</v>
      </c>
      <c r="AS62" s="299" t="str">
        <f>VLOOKUP(AR62,$BB$8:$BC$14,2,FALSE)</f>
        <v>N/A</v>
      </c>
      <c r="AT62" s="319"/>
      <c r="AU62" s="316">
        <f>IF(AQ62=0,9,IF(X62&gt;=AQ62,5,IF(X62&gt;=AP62,4,IF(X62&gt;=AO62,3,IF(X62&gt;=AN62,2,IF(X62&lt;AM62,0,1))))))</f>
        <v>9</v>
      </c>
      <c r="AV62" s="299" t="str">
        <f>VLOOKUP(AU62,$BB$8:$BC$14,2,FALSE)</f>
        <v>N/A</v>
      </c>
      <c r="AW62" s="319"/>
      <c r="AX62" s="316">
        <f>IF(AQ62=0,9,IF(X62&gt;=AQ62,5,IF(X62&gt;=AP62,4,IF(X62&gt;=AO62,3,IF(X62&gt;=AN62,2,IF(X62&lt;AM62,0,1))))))</f>
        <v>9</v>
      </c>
      <c r="AY62" s="299" t="str">
        <f>VLOOKUP(AX62,$BB$8:$BC$14,2,FALSE)</f>
        <v>N/A</v>
      </c>
      <c r="AZ62" s="319"/>
    </row>
    <row r="63" spans="1:52" ht="15.75" thickBot="1" x14ac:dyDescent="0.3">
      <c r="A63" s="529">
        <v>56</v>
      </c>
      <c r="C63" s="464" t="s">
        <v>192</v>
      </c>
      <c r="D63" s="466"/>
      <c r="E63" s="461"/>
      <c r="F63" s="461"/>
      <c r="G63" s="461"/>
      <c r="H63" s="461"/>
      <c r="I63" s="465"/>
      <c r="K63" s="362">
        <f>HLOOKUP($D$5,$E$8:$I$99,$A63,FALSE)</f>
        <v>0</v>
      </c>
      <c r="L63" s="298"/>
      <c r="M63" s="299"/>
      <c r="N63" s="299"/>
      <c r="O63" s="299">
        <f>'Manuell filtrering og justering'!D61</f>
        <v>0</v>
      </c>
      <c r="P63" s="300"/>
      <c r="Q63" s="301">
        <f t="shared" si="47"/>
        <v>0</v>
      </c>
      <c r="R63" s="302">
        <f>IF($S$4='Manuell filtrering og justering'!$I$2,P63,(K63-Q63))</f>
        <v>0</v>
      </c>
      <c r="T63" s="303">
        <f>(BP_38/Mat_Credits)*Mat06_credits</f>
        <v>0</v>
      </c>
      <c r="U63" s="303">
        <f>IF(R63=0,0,(T63/Mat06_credits)*Mat06_user)</f>
        <v>0</v>
      </c>
      <c r="W63" s="355"/>
      <c r="X63" s="304"/>
      <c r="Y63" s="304"/>
      <c r="AA63" s="473"/>
      <c r="AB63" s="474"/>
      <c r="AC63" s="474"/>
      <c r="AD63" s="474"/>
      <c r="AE63" s="475"/>
      <c r="AF63" s="267"/>
      <c r="AG63" s="473"/>
      <c r="AH63" s="474"/>
      <c r="AI63" s="474"/>
      <c r="AJ63" s="474"/>
      <c r="AK63" s="475"/>
      <c r="AM63" s="333"/>
      <c r="AN63" s="335"/>
      <c r="AO63" s="335"/>
      <c r="AP63" s="335"/>
      <c r="AQ63" s="336">
        <f t="shared" si="1"/>
        <v>0</v>
      </c>
      <c r="AR63" s="337">
        <f t="shared" si="10"/>
        <v>9</v>
      </c>
      <c r="AS63" s="338" t="str">
        <f>VLOOKUP(AR63,$BB$8:$BC$14,2,FALSE)</f>
        <v>N/A</v>
      </c>
      <c r="AT63" s="339"/>
      <c r="AU63" s="337">
        <f>IF(AQ63=0,9,IF(X63&gt;=AQ63,5,IF(X63&gt;=AP63,4,IF(X63&gt;=AO63,3,IF(X63&gt;=AN63,2,IF(X63&lt;AM63,0,1))))))</f>
        <v>9</v>
      </c>
      <c r="AV63" s="338" t="str">
        <f>VLOOKUP(AU63,$BB$8:$BC$14,2,FALSE)</f>
        <v>N/A</v>
      </c>
      <c r="AW63" s="339"/>
      <c r="AX63" s="337">
        <f>IF(AQ63=0,9,IF(X63&gt;=AQ63,5,IF(X63&gt;=AP63,4,IF(X63&gt;=AO63,3,IF(X63&gt;=AN63,2,IF(X63&lt;AM63,0,1))))))</f>
        <v>9</v>
      </c>
      <c r="AY63" s="338" t="str">
        <f>VLOOKUP(AX63,$BB$8:$BC$14,2,FALSE)</f>
        <v>N/A</v>
      </c>
      <c r="AZ63" s="339"/>
    </row>
    <row r="64" spans="1:52" ht="15.75" thickBot="1" x14ac:dyDescent="0.3">
      <c r="A64" s="529">
        <v>57</v>
      </c>
      <c r="C64" s="340"/>
      <c r="D64" s="341" t="s">
        <v>231</v>
      </c>
      <c r="E64" s="341">
        <f>SUM(E60:E63)</f>
        <v>11</v>
      </c>
      <c r="F64" s="341">
        <f>SUM(F60:F63)</f>
        <v>11</v>
      </c>
      <c r="G64" s="341">
        <f>SUM(G60:G63)</f>
        <v>11</v>
      </c>
      <c r="H64" s="341">
        <f>SUM(H60:H63)</f>
        <v>11</v>
      </c>
      <c r="I64" s="342">
        <f>SUM(I60:I63)</f>
        <v>11</v>
      </c>
      <c r="K64" s="368">
        <f>HLOOKUP($D$5,$E$8:$I$99,$A64,FALSE)</f>
        <v>11</v>
      </c>
      <c r="L64" s="344"/>
      <c r="M64" s="345"/>
      <c r="N64" s="345"/>
      <c r="O64" s="345"/>
      <c r="P64" s="346"/>
      <c r="Q64" s="347">
        <f>SUM(Q60:Q63)</f>
        <v>0</v>
      </c>
      <c r="R64" s="369">
        <f>SUM(R60:R63)</f>
        <v>11</v>
      </c>
      <c r="T64" s="349">
        <f>SUM(T60:T63)</f>
        <v>0.13500000000000001</v>
      </c>
      <c r="U64" s="349">
        <f>SUM(U60:U63)</f>
        <v>0</v>
      </c>
      <c r="W64" s="25">
        <f>SUM(W60:W63)</f>
        <v>0</v>
      </c>
      <c r="X64" s="25">
        <f t="shared" ref="X64:Y64" si="48">SUM(X60:X63)</f>
        <v>0</v>
      </c>
      <c r="Y64" s="25">
        <f t="shared" si="48"/>
        <v>0</v>
      </c>
      <c r="AA64" s="267"/>
      <c r="AB64" s="267"/>
      <c r="AC64" s="267"/>
      <c r="AD64" s="267"/>
      <c r="AE64" s="267"/>
      <c r="AF64" s="267"/>
      <c r="AG64" s="267"/>
      <c r="AH64" s="267"/>
      <c r="AI64" s="267"/>
      <c r="AJ64" s="267"/>
      <c r="AK64" s="267"/>
      <c r="AM64" s="178"/>
      <c r="AN64" s="350"/>
      <c r="AO64" s="178"/>
      <c r="AP64" s="178"/>
      <c r="AQ64" s="178"/>
    </row>
    <row r="65" spans="1:52" ht="15.75" thickBot="1" x14ac:dyDescent="0.3">
      <c r="A65" s="529">
        <v>58</v>
      </c>
      <c r="W65" s="3"/>
      <c r="X65" s="3"/>
      <c r="Y65" s="3"/>
      <c r="AA65" s="267"/>
      <c r="AB65" s="267"/>
      <c r="AC65" s="267"/>
      <c r="AD65" s="267"/>
      <c r="AE65" s="267"/>
      <c r="AF65" s="267"/>
      <c r="AG65" s="267"/>
      <c r="AH65" s="267"/>
      <c r="AI65" s="267"/>
      <c r="AJ65" s="267"/>
      <c r="AK65" s="267"/>
      <c r="AM65" s="178"/>
      <c r="AN65" s="178"/>
      <c r="AO65" s="178"/>
      <c r="AP65" s="178"/>
      <c r="AQ65" s="178"/>
    </row>
    <row r="66" spans="1:52" ht="15.75" thickBot="1" x14ac:dyDescent="0.3">
      <c r="A66" s="529">
        <v>59</v>
      </c>
      <c r="C66" s="274"/>
      <c r="D66" s="275" t="s">
        <v>73</v>
      </c>
      <c r="E66" s="276" t="str">
        <f>$E$8</f>
        <v>Office</v>
      </c>
      <c r="F66" s="276" t="str">
        <f>$F$8</f>
        <v>Retail</v>
      </c>
      <c r="G66" s="276" t="str">
        <f>$G$8</f>
        <v>Residential</v>
      </c>
      <c r="H66" s="276" t="str">
        <f>$H$8</f>
        <v>Industrial</v>
      </c>
      <c r="I66" s="277" t="str">
        <f>$I$8</f>
        <v>Education</v>
      </c>
      <c r="K66" s="266" t="str">
        <f>$D$5</f>
        <v>Office</v>
      </c>
      <c r="L66" s="351"/>
      <c r="M66" s="352"/>
      <c r="N66" s="352"/>
      <c r="O66" s="352"/>
      <c r="P66" s="756" t="s">
        <v>1167</v>
      </c>
      <c r="Q66" s="281" t="s">
        <v>231</v>
      </c>
      <c r="R66" s="266"/>
      <c r="W66" s="71"/>
      <c r="X66" s="93"/>
      <c r="Y66" s="93"/>
      <c r="AA66" s="267"/>
      <c r="AB66" s="267"/>
      <c r="AC66" s="267"/>
      <c r="AD66" s="267"/>
      <c r="AE66" s="267"/>
      <c r="AF66" s="267"/>
      <c r="AG66" s="267"/>
      <c r="AH66" s="267"/>
      <c r="AI66" s="267"/>
      <c r="AJ66" s="267"/>
      <c r="AK66" s="267"/>
      <c r="AM66" s="178"/>
      <c r="AN66" s="178"/>
      <c r="AO66" s="178"/>
      <c r="AP66" s="178"/>
      <c r="AQ66" s="178"/>
    </row>
    <row r="67" spans="1:52" x14ac:dyDescent="0.25">
      <c r="A67" s="529">
        <v>60</v>
      </c>
      <c r="B67" s="529"/>
      <c r="C67" s="558" t="s">
        <v>193</v>
      </c>
      <c r="D67" s="559" t="s">
        <v>173</v>
      </c>
      <c r="E67" s="462">
        <v>3</v>
      </c>
      <c r="F67" s="462">
        <v>3</v>
      </c>
      <c r="G67" s="462">
        <v>3</v>
      </c>
      <c r="H67" s="462">
        <v>3</v>
      </c>
      <c r="I67" s="463">
        <v>3</v>
      </c>
      <c r="K67" s="353">
        <f>HLOOKUP($D$5,$E$8:$I$99,$A67,FALSE)</f>
        <v>3</v>
      </c>
      <c r="L67" s="298"/>
      <c r="M67" s="299"/>
      <c r="N67" s="299"/>
      <c r="O67" s="299">
        <f>'Manuell filtrering og justering'!D65</f>
        <v>0</v>
      </c>
      <c r="P67" s="300">
        <f>VLOOKUP(C67,'Manuell filtrering og justering'!$A$7:$G$97,'Manuell filtrering og justering'!$G$1,FALSE)</f>
        <v>3</v>
      </c>
      <c r="Q67" s="301">
        <f>IF(SUM(L67:O67)&gt;K67,K67,SUM(L67:O67))</f>
        <v>0</v>
      </c>
      <c r="R67" s="302">
        <f>IF($S$4='Manuell filtrering og justering'!$I$2,P67,(K67-Q67))</f>
        <v>3</v>
      </c>
      <c r="T67" s="303">
        <f>(BP_39/Wst_Credits)*Wst01_credits</f>
        <v>3.7499999999999999E-2</v>
      </c>
      <c r="U67" s="303">
        <f>(Wst01_27/Wst01_credits)*Wst01_user</f>
        <v>0</v>
      </c>
      <c r="W67" s="528">
        <f>'Assessment Issue Scoring'!E981</f>
        <v>0</v>
      </c>
      <c r="X67" s="304"/>
      <c r="Y67" s="304"/>
      <c r="AA67" s="305"/>
      <c r="AB67" s="467"/>
      <c r="AC67" s="467"/>
      <c r="AD67" s="467"/>
      <c r="AE67" s="306">
        <v>1</v>
      </c>
      <c r="AF67" s="267"/>
      <c r="AG67" s="305"/>
      <c r="AH67" s="467"/>
      <c r="AI67" s="467"/>
      <c r="AJ67" s="467"/>
      <c r="AK67" s="306">
        <v>1</v>
      </c>
      <c r="AM67" s="307"/>
      <c r="AN67" s="308"/>
      <c r="AO67" s="308"/>
      <c r="AP67" s="308"/>
      <c r="AQ67" s="371">
        <f t="shared" si="1"/>
        <v>1</v>
      </c>
      <c r="AR67" s="307">
        <f t="shared" si="10"/>
        <v>4</v>
      </c>
      <c r="AS67" s="310" t="str">
        <f>VLOOKUP(AR67,$BB$8:$BC$14,2,FALSE)</f>
        <v>Excellent</v>
      </c>
      <c r="AT67" s="311"/>
      <c r="AU67" s="307">
        <f>IF(AQ67=0,9,IF(X67&gt;=AQ67,5,IF(X67&gt;=AP67,4,IF(X67&gt;=AO67,3,IF(X67&gt;=AN67,2,IF(X67&lt;AM67,0,1))))))</f>
        <v>4</v>
      </c>
      <c r="AV67" s="310" t="str">
        <f>VLOOKUP(AU67,$BB$8:$BC$14,2,FALSE)</f>
        <v>Excellent</v>
      </c>
      <c r="AW67" s="311"/>
      <c r="AX67" s="307">
        <f>IF(AQ67=0,9,IF(X67&gt;=AQ67,5,IF(X67&gt;=AP67,4,IF(X67&gt;=AO67,3,IF(X67&gt;=AN67,2,IF(X67&lt;AM67,0,1))))))</f>
        <v>4</v>
      </c>
      <c r="AY67" s="310" t="str">
        <f>VLOOKUP(AX67,$BB$8:$BC$14,2,FALSE)</f>
        <v>Excellent</v>
      </c>
      <c r="AZ67" s="311"/>
    </row>
    <row r="68" spans="1:52" x14ac:dyDescent="0.25">
      <c r="A68" s="529">
        <v>61</v>
      </c>
      <c r="B68" s="529"/>
      <c r="C68" s="363" t="s">
        <v>194</v>
      </c>
      <c r="D68" s="560" t="s">
        <v>335</v>
      </c>
      <c r="E68" s="312">
        <v>1</v>
      </c>
      <c r="F68" s="312">
        <v>1</v>
      </c>
      <c r="G68" s="312">
        <v>1</v>
      </c>
      <c r="H68" s="312">
        <v>1</v>
      </c>
      <c r="I68" s="313">
        <v>1</v>
      </c>
      <c r="K68" s="362">
        <f>HLOOKUP($D$5,$E$8:$I$99,$A68,FALSE)</f>
        <v>1</v>
      </c>
      <c r="L68" s="298"/>
      <c r="M68" s="299"/>
      <c r="N68" s="299"/>
      <c r="O68" s="299">
        <f>'Manuell filtrering og justering'!D66</f>
        <v>0</v>
      </c>
      <c r="P68" s="300">
        <f>VLOOKUP(C68,'Manuell filtrering og justering'!$A$7:$G$97,'Manuell filtrering og justering'!$G$1,FALSE)</f>
        <v>0</v>
      </c>
      <c r="Q68" s="301">
        <f t="shared" ref="Q68:Q70" si="49">IF(SUM(L68:O68)&gt;K68,K68,SUM(L68:O68))</f>
        <v>0</v>
      </c>
      <c r="R68" s="302">
        <f>IF($S$4='Manuell filtrering og justering'!$I$2,P68,(K68-Q68))</f>
        <v>1</v>
      </c>
      <c r="T68" s="303">
        <f>(BP_39/Wst_Credits)*Wst02_credits</f>
        <v>1.2499999999999999E-2</v>
      </c>
      <c r="U68" s="303">
        <f>(Wst02_14/Wst02_credits)*Wst02_user</f>
        <v>0</v>
      </c>
      <c r="W68" s="528">
        <f>'Assessment Issue Scoring'!E1001</f>
        <v>0</v>
      </c>
      <c r="X68" s="304"/>
      <c r="Y68" s="304"/>
      <c r="AA68" s="469"/>
      <c r="AB68" s="315"/>
      <c r="AC68" s="315"/>
      <c r="AD68" s="315"/>
      <c r="AE68" s="320"/>
      <c r="AF68" s="267"/>
      <c r="AG68" s="469"/>
      <c r="AH68" s="315"/>
      <c r="AI68" s="315"/>
      <c r="AJ68" s="315"/>
      <c r="AK68" s="320"/>
      <c r="AM68" s="316"/>
      <c r="AN68" s="317"/>
      <c r="AO68" s="317"/>
      <c r="AP68" s="317"/>
      <c r="AQ68" s="321">
        <f t="shared" si="1"/>
        <v>0</v>
      </c>
      <c r="AR68" s="316">
        <f t="shared" si="10"/>
        <v>9</v>
      </c>
      <c r="AS68" s="299" t="str">
        <f>VLOOKUP(AR68,$BB$8:$BC$14,2,FALSE)</f>
        <v>N/A</v>
      </c>
      <c r="AT68" s="319"/>
      <c r="AU68" s="316">
        <f>IF(AQ68=0,9,IF(X68&gt;=AQ68,5,IF(X68&gt;=AP68,4,IF(X68&gt;=AO68,3,IF(X68&gt;=AN68,2,IF(X68&lt;AM68,0,1))))))</f>
        <v>9</v>
      </c>
      <c r="AV68" s="299" t="str">
        <f>VLOOKUP(AU68,$BB$8:$BC$14,2,FALSE)</f>
        <v>N/A</v>
      </c>
      <c r="AW68" s="319"/>
      <c r="AX68" s="316">
        <f>IF(AQ68=0,9,IF(X68&gt;=AQ68,5,IF(X68&gt;=AP68,4,IF(X68&gt;=AO68,3,IF(X68&gt;=AN68,2,IF(X68&lt;AM68,0,1))))))</f>
        <v>9</v>
      </c>
      <c r="AY68" s="299" t="str">
        <f>VLOOKUP(AX68,$BB$8:$BC$14,2,FALSE)</f>
        <v>N/A</v>
      </c>
      <c r="AZ68" s="319"/>
    </row>
    <row r="69" spans="1:52" x14ac:dyDescent="0.25">
      <c r="A69" s="529">
        <v>62</v>
      </c>
      <c r="B69" s="529"/>
      <c r="C69" s="363" t="s">
        <v>195</v>
      </c>
      <c r="D69" s="374" t="s">
        <v>182</v>
      </c>
      <c r="E69" s="312">
        <v>1</v>
      </c>
      <c r="F69" s="312">
        <v>1</v>
      </c>
      <c r="G69" s="312">
        <v>2</v>
      </c>
      <c r="H69" s="312">
        <v>1</v>
      </c>
      <c r="I69" s="313">
        <v>1</v>
      </c>
      <c r="K69" s="362">
        <f>HLOOKUP($D$5,$E$8:$I$99,$A69,FALSE)</f>
        <v>1</v>
      </c>
      <c r="L69" s="298"/>
      <c r="M69" s="299"/>
      <c r="N69" s="299"/>
      <c r="O69" s="299">
        <f>'Manuell filtrering og justering'!D67</f>
        <v>0</v>
      </c>
      <c r="P69" s="300">
        <f>VLOOKUP(C69,'Manuell filtrering og justering'!$A$7:$G$97,'Manuell filtrering og justering'!$G$1,FALSE)</f>
        <v>1</v>
      </c>
      <c r="Q69" s="301">
        <f t="shared" si="49"/>
        <v>0</v>
      </c>
      <c r="R69" s="302">
        <f>IF($S$4='Manuell filtrering og justering'!$I$2,P69,(K69-Q69))</f>
        <v>1</v>
      </c>
      <c r="T69" s="303">
        <f>(BP_39/Wst_Credits)*Wst03_credits</f>
        <v>1.2499999999999999E-2</v>
      </c>
      <c r="U69" s="303">
        <f>(Wst03_12/Wst03_credits)*Wst03_user</f>
        <v>0</v>
      </c>
      <c r="W69" s="528">
        <f>'Assessment Issue Scoring'!E1028</f>
        <v>0</v>
      </c>
      <c r="X69" s="304"/>
      <c r="Y69" s="304"/>
      <c r="AA69" s="470"/>
      <c r="AB69" s="471"/>
      <c r="AC69" s="471"/>
      <c r="AD69" s="471">
        <v>1</v>
      </c>
      <c r="AE69" s="472">
        <v>1</v>
      </c>
      <c r="AF69" s="267"/>
      <c r="AG69" s="470"/>
      <c r="AH69" s="471"/>
      <c r="AI69" s="471"/>
      <c r="AJ69" s="471">
        <v>1</v>
      </c>
      <c r="AK69" s="472">
        <v>1</v>
      </c>
      <c r="AM69" s="322"/>
      <c r="AN69" s="323"/>
      <c r="AO69" s="323"/>
      <c r="AP69" s="323">
        <f t="shared" ref="AP69" si="50">IF($D$5=$G$8,AJ69,AD69)</f>
        <v>1</v>
      </c>
      <c r="AQ69" s="324">
        <f t="shared" si="1"/>
        <v>1</v>
      </c>
      <c r="AR69" s="316">
        <f t="shared" si="10"/>
        <v>3</v>
      </c>
      <c r="AS69" s="299" t="str">
        <f>VLOOKUP(AR69,$BB$8:$BC$14,2,FALSE)</f>
        <v>Very Good</v>
      </c>
      <c r="AT69" s="319"/>
      <c r="AU69" s="316">
        <f>IF(AQ69=0,9,IF(X69&gt;=AQ69,5,IF(X69&gt;=AP69,4,IF(X69&gt;=AO69,3,IF(X69&gt;=AN69,2,IF(X69&lt;AM69,0,1))))))</f>
        <v>3</v>
      </c>
      <c r="AV69" s="299" t="str">
        <f>VLOOKUP(AU69,$BB$8:$BC$14,2,FALSE)</f>
        <v>Very Good</v>
      </c>
      <c r="AW69" s="319"/>
      <c r="AX69" s="316">
        <f>IF(AQ69=0,9,IF(X69&gt;=AQ69,5,IF(X69&gt;=AP69,4,IF(X69&gt;=AO69,3,IF(X69&gt;=AN69,2,IF(X69&lt;AM69,0,1))))))</f>
        <v>3</v>
      </c>
      <c r="AY69" s="299" t="str">
        <f>VLOOKUP(AX69,$BB$8:$BC$14,2,FALSE)</f>
        <v>Very Good</v>
      </c>
      <c r="AZ69" s="319"/>
    </row>
    <row r="70" spans="1:52" ht="15.75" thickBot="1" x14ac:dyDescent="0.3">
      <c r="A70" s="529">
        <v>63</v>
      </c>
      <c r="B70" s="529"/>
      <c r="C70" s="363" t="s">
        <v>196</v>
      </c>
      <c r="D70" s="374" t="s">
        <v>232</v>
      </c>
      <c r="E70" s="312">
        <v>1</v>
      </c>
      <c r="F70" s="312"/>
      <c r="G70" s="312"/>
      <c r="H70" s="312"/>
      <c r="I70" s="313"/>
      <c r="K70" s="362">
        <f>HLOOKUP($D$5,$E$8:$I$99,$A70,FALSE)</f>
        <v>1</v>
      </c>
      <c r="L70" s="298"/>
      <c r="M70" s="299"/>
      <c r="N70" s="299"/>
      <c r="O70" s="299">
        <f>'Manuell filtrering og justering'!D68</f>
        <v>0</v>
      </c>
      <c r="P70" s="300">
        <f>VLOOKUP(C70,'Manuell filtrering og justering'!$A$7:$G$97,'Manuell filtrering og justering'!$G$1,FALSE)</f>
        <v>0</v>
      </c>
      <c r="Q70" s="301">
        <f t="shared" si="49"/>
        <v>0</v>
      </c>
      <c r="R70" s="302">
        <f>IF($S$4='Manuell filtrering og justering'!$I$2,P70,(K70-Q70))</f>
        <v>1</v>
      </c>
      <c r="T70" s="303">
        <f>(BP_39/Wst_Credits)*Wst04_credits</f>
        <v>1.2499999999999999E-2</v>
      </c>
      <c r="U70" s="303">
        <f>IFERROR((Wst04_08/Wst04_credits)*Wst04_user,0)</f>
        <v>0</v>
      </c>
      <c r="W70" s="528">
        <f>'Assessment Issue Scoring'!E1048</f>
        <v>0</v>
      </c>
      <c r="X70" s="304"/>
      <c r="Y70" s="304"/>
      <c r="AA70" s="473"/>
      <c r="AB70" s="474"/>
      <c r="AC70" s="474"/>
      <c r="AD70" s="474"/>
      <c r="AE70" s="475"/>
      <c r="AF70" s="267"/>
      <c r="AG70" s="473"/>
      <c r="AH70" s="474"/>
      <c r="AI70" s="474"/>
      <c r="AJ70" s="474"/>
      <c r="AK70" s="475"/>
      <c r="AM70" s="333"/>
      <c r="AN70" s="335"/>
      <c r="AO70" s="335"/>
      <c r="AP70" s="335"/>
      <c r="AQ70" s="336">
        <f t="shared" ref="AQ70:AQ96" si="51">IF($D$5=$G$8,AK70,AE70)</f>
        <v>0</v>
      </c>
      <c r="AR70" s="337">
        <f t="shared" si="10"/>
        <v>9</v>
      </c>
      <c r="AS70" s="338" t="str">
        <f>VLOOKUP(AR70,$BB$8:$BC$14,2,FALSE)</f>
        <v>N/A</v>
      </c>
      <c r="AT70" s="339"/>
      <c r="AU70" s="337">
        <f>IF(AQ70=0,9,IF(X70&gt;=AQ70,5,IF(X70&gt;=AP70,4,IF(X70&gt;=AO70,3,IF(X70&gt;=AN70,2,IF(X70&lt;AM70,0,1))))))</f>
        <v>9</v>
      </c>
      <c r="AV70" s="338" t="str">
        <f>VLOOKUP(AU70,$BB$8:$BC$14,2,FALSE)</f>
        <v>N/A</v>
      </c>
      <c r="AW70" s="339"/>
      <c r="AX70" s="337">
        <f>IF(AQ70=0,9,IF(X70&gt;=AQ70,5,IF(X70&gt;=AP70,4,IF(X70&gt;=AO70,3,IF(X70&gt;=AN70,2,IF(X70&lt;AM70,0,1))))))</f>
        <v>9</v>
      </c>
      <c r="AY70" s="338" t="str">
        <f>VLOOKUP(AX70,$BB$8:$BC$14,2,FALSE)</f>
        <v>N/A</v>
      </c>
      <c r="AZ70" s="339"/>
    </row>
    <row r="71" spans="1:52" ht="15.75" thickBot="1" x14ac:dyDescent="0.3">
      <c r="A71" s="529">
        <v>64</v>
      </c>
      <c r="C71" s="340"/>
      <c r="D71" s="341" t="s">
        <v>231</v>
      </c>
      <c r="E71" s="341">
        <f>SUM(E67:E70)</f>
        <v>6</v>
      </c>
      <c r="F71" s="341">
        <f>SUM(F67:F70)</f>
        <v>5</v>
      </c>
      <c r="G71" s="341">
        <f>SUM(G67:G70)</f>
        <v>6</v>
      </c>
      <c r="H71" s="341">
        <f>SUM(H67:H70)</f>
        <v>5</v>
      </c>
      <c r="I71" s="342">
        <f>SUM(I67:I70)</f>
        <v>5</v>
      </c>
      <c r="K71" s="368">
        <f>HLOOKUP($D$5,$E$8:$I$99,$A71,FALSE)</f>
        <v>6</v>
      </c>
      <c r="L71" s="344"/>
      <c r="M71" s="345"/>
      <c r="N71" s="345"/>
      <c r="O71" s="345"/>
      <c r="P71" s="346"/>
      <c r="Q71" s="347">
        <f>SUM(Q67:Q70)</f>
        <v>0</v>
      </c>
      <c r="R71" s="369">
        <f>SUM(R67:R70)</f>
        <v>6</v>
      </c>
      <c r="T71" s="349">
        <f>SUM(T67:T70)</f>
        <v>7.4999999999999997E-2</v>
      </c>
      <c r="U71" s="349">
        <f>SUM(U67:U70)</f>
        <v>0</v>
      </c>
      <c r="W71" s="25">
        <f>SUM(W67:W70)</f>
        <v>0</v>
      </c>
      <c r="X71" s="25">
        <f t="shared" ref="X71:Y71" si="52">SUM(X67:X70)</f>
        <v>0</v>
      </c>
      <c r="Y71" s="25">
        <f t="shared" si="52"/>
        <v>0</v>
      </c>
      <c r="AA71" s="267"/>
      <c r="AB71" s="267"/>
      <c r="AC71" s="267"/>
      <c r="AD71" s="267"/>
      <c r="AE71" s="267"/>
      <c r="AF71" s="267"/>
      <c r="AG71" s="267"/>
      <c r="AH71" s="267"/>
      <c r="AI71" s="267"/>
      <c r="AJ71" s="267"/>
      <c r="AK71" s="267"/>
      <c r="AM71" s="178"/>
      <c r="AN71" s="350"/>
      <c r="AO71" s="178"/>
      <c r="AP71" s="178"/>
      <c r="AQ71" s="178"/>
    </row>
    <row r="72" spans="1:52" ht="15.75" thickBot="1" x14ac:dyDescent="0.3">
      <c r="A72" s="529">
        <v>65</v>
      </c>
      <c r="W72" s="3"/>
      <c r="X72" s="3"/>
      <c r="Y72" s="3"/>
      <c r="AA72" s="267"/>
      <c r="AB72" s="267"/>
      <c r="AC72" s="267"/>
      <c r="AD72" s="267"/>
      <c r="AE72" s="267"/>
      <c r="AF72" s="267"/>
      <c r="AG72" s="267"/>
      <c r="AH72" s="267"/>
      <c r="AI72" s="267"/>
      <c r="AJ72" s="267"/>
      <c r="AK72" s="267"/>
      <c r="AM72" s="178"/>
      <c r="AN72" s="178"/>
      <c r="AO72" s="178"/>
      <c r="AP72" s="178"/>
      <c r="AQ72" s="178"/>
    </row>
    <row r="73" spans="1:52" ht="15.75" thickBot="1" x14ac:dyDescent="0.3">
      <c r="A73" s="529">
        <v>66</v>
      </c>
      <c r="C73" s="274"/>
      <c r="D73" s="275" t="s">
        <v>244</v>
      </c>
      <c r="E73" s="276" t="str">
        <f>$E$8</f>
        <v>Office</v>
      </c>
      <c r="F73" s="276" t="str">
        <f>$F$8</f>
        <v>Retail</v>
      </c>
      <c r="G73" s="276" t="str">
        <f>$G$8</f>
        <v>Residential</v>
      </c>
      <c r="H73" s="276" t="str">
        <f>$H$8</f>
        <v>Industrial</v>
      </c>
      <c r="I73" s="277" t="str">
        <f>$I$8</f>
        <v>Education</v>
      </c>
      <c r="K73" s="266" t="str">
        <f>$D$5</f>
        <v>Office</v>
      </c>
      <c r="L73" s="351"/>
      <c r="M73" s="352"/>
      <c r="N73" s="352"/>
      <c r="O73" s="352"/>
      <c r="P73" s="756" t="s">
        <v>1167</v>
      </c>
      <c r="Q73" s="281" t="s">
        <v>231</v>
      </c>
      <c r="R73" s="266"/>
      <c r="W73" s="71"/>
      <c r="X73" s="93"/>
      <c r="Y73" s="93"/>
      <c r="AA73" s="267"/>
      <c r="AB73" s="267"/>
      <c r="AC73" s="267"/>
      <c r="AD73" s="267"/>
      <c r="AE73" s="267"/>
      <c r="AF73" s="267"/>
      <c r="AG73" s="267"/>
      <c r="AH73" s="267"/>
      <c r="AI73" s="267"/>
      <c r="AJ73" s="267"/>
      <c r="AK73" s="267"/>
      <c r="AM73" s="178"/>
      <c r="AN73" s="178"/>
      <c r="AO73" s="178"/>
      <c r="AP73" s="178"/>
      <c r="AQ73" s="178"/>
    </row>
    <row r="74" spans="1:52" x14ac:dyDescent="0.25">
      <c r="A74" s="529">
        <v>67</v>
      </c>
      <c r="B74" s="529"/>
      <c r="C74" s="558" t="s">
        <v>197</v>
      </c>
      <c r="D74" s="559" t="s">
        <v>174</v>
      </c>
      <c r="E74" s="295">
        <v>3</v>
      </c>
      <c r="F74" s="295">
        <v>3</v>
      </c>
      <c r="G74" s="295">
        <v>3</v>
      </c>
      <c r="H74" s="295">
        <v>3</v>
      </c>
      <c r="I74" s="296">
        <v>3</v>
      </c>
      <c r="K74" s="353">
        <f t="shared" ref="K74:K79" si="53">HLOOKUP($D$5,$E$8:$I$99,$A74,FALSE)</f>
        <v>3</v>
      </c>
      <c r="L74" s="298"/>
      <c r="M74" s="299"/>
      <c r="N74" s="299"/>
      <c r="O74" s="299">
        <f>'Manuell filtrering og justering'!D72</f>
        <v>0</v>
      </c>
      <c r="P74" s="300">
        <f>VLOOKUP(C74,'Manuell filtrering og justering'!$A$7:$G$97,'Manuell filtrering og justering'!$G$1,FALSE)</f>
        <v>3</v>
      </c>
      <c r="Q74" s="301">
        <f>IF(SUM(L74:O74)&gt;K74,K74,SUM(L74:O74))</f>
        <v>0</v>
      </c>
      <c r="R74" s="302">
        <f>IF($S$4='Manuell filtrering og justering'!$I$2,P74,(K74-Q74))</f>
        <v>3</v>
      </c>
      <c r="T74" s="303">
        <f>(BP_40/LE_Credits)*LE01_credits</f>
        <v>0.03</v>
      </c>
      <c r="U74" s="303">
        <f>(LE01_07/LE01_credits)*LE01_user</f>
        <v>0</v>
      </c>
      <c r="W74" s="528">
        <f>'Assessment Issue Scoring'!E1073</f>
        <v>0</v>
      </c>
      <c r="X74" s="304"/>
      <c r="Y74" s="304"/>
      <c r="AA74" s="476"/>
      <c r="AB74" s="477"/>
      <c r="AC74" s="477"/>
      <c r="AD74" s="477"/>
      <c r="AE74" s="478"/>
      <c r="AF74" s="267"/>
      <c r="AG74" s="476"/>
      <c r="AH74" s="477"/>
      <c r="AI74" s="477"/>
      <c r="AJ74" s="477"/>
      <c r="AK74" s="478"/>
      <c r="AM74" s="359"/>
      <c r="AN74" s="360"/>
      <c r="AO74" s="360"/>
      <c r="AP74" s="360"/>
      <c r="AQ74" s="361">
        <f t="shared" si="51"/>
        <v>0</v>
      </c>
      <c r="AR74" s="307">
        <f t="shared" si="10"/>
        <v>9</v>
      </c>
      <c r="AS74" s="310" t="str">
        <f>VLOOKUP(AR74,$BB$8:$BC$14,2,FALSE)</f>
        <v>N/A</v>
      </c>
      <c r="AT74" s="311"/>
      <c r="AU74" s="307">
        <f>IF(AQ74=0,9,IF(X74&gt;=AQ74,5,IF(X74&gt;=AP74,4,IF(X74&gt;=AO74,3,IF(X74&gt;=AN74,2,IF(X74&lt;AM74,0,1))))))</f>
        <v>9</v>
      </c>
      <c r="AV74" s="310" t="str">
        <f>VLOOKUP(AU74,$BB$8:$BC$14,2,FALSE)</f>
        <v>N/A</v>
      </c>
      <c r="AW74" s="311"/>
      <c r="AX74" s="307">
        <f>IF(AQ74=0,9,IF(X74&gt;=AQ74,5,IF(X74&gt;=AP74,4,IF(X74&gt;=AO74,3,IF(X74&gt;=AN74,2,IF(X74&lt;AM74,0,1))))))</f>
        <v>9</v>
      </c>
      <c r="AY74" s="310" t="str">
        <f>VLOOKUP(AX74,$BB$8:$BC$14,2,FALSE)</f>
        <v>N/A</v>
      </c>
      <c r="AZ74" s="311"/>
    </row>
    <row r="75" spans="1:52" x14ac:dyDescent="0.25">
      <c r="A75" s="529">
        <v>68</v>
      </c>
      <c r="B75" s="529"/>
      <c r="C75" s="363" t="s">
        <v>198</v>
      </c>
      <c r="D75" s="374" t="s">
        <v>175</v>
      </c>
      <c r="E75" s="312">
        <v>2</v>
      </c>
      <c r="F75" s="312">
        <v>2</v>
      </c>
      <c r="G75" s="312">
        <v>2</v>
      </c>
      <c r="H75" s="312">
        <v>2</v>
      </c>
      <c r="I75" s="313">
        <v>2</v>
      </c>
      <c r="K75" s="362">
        <f t="shared" si="53"/>
        <v>2</v>
      </c>
      <c r="L75" s="298"/>
      <c r="M75" s="299"/>
      <c r="N75" s="299"/>
      <c r="O75" s="299">
        <f>'Manuell filtrering og justering'!D73</f>
        <v>0</v>
      </c>
      <c r="P75" s="300">
        <f>VLOOKUP(C75,'Manuell filtrering og justering'!$A$7:$G$97,'Manuell filtrering og justering'!$G$1,FALSE)</f>
        <v>2</v>
      </c>
      <c r="Q75" s="301">
        <f t="shared" ref="Q75:Q78" si="54">IF(SUM(L75:O75)&gt;K75,K75,SUM(L75:O75))</f>
        <v>0</v>
      </c>
      <c r="R75" s="302">
        <f>IF($S$4='Manuell filtrering og justering'!$I$2,P75,(K75-Q75))</f>
        <v>2</v>
      </c>
      <c r="T75" s="303">
        <f>(BP_40/LE_Credits)*LE02_credits</f>
        <v>0.02</v>
      </c>
      <c r="U75" s="303">
        <f>(LE02_07/LE02_credits)*LE02_user</f>
        <v>0</v>
      </c>
      <c r="W75" s="528">
        <f>'Assessment Issue Scoring'!E1095</f>
        <v>0</v>
      </c>
      <c r="X75" s="304"/>
      <c r="Y75" s="304"/>
      <c r="AA75" s="470"/>
      <c r="AB75" s="471"/>
      <c r="AC75" s="471"/>
      <c r="AD75" s="471"/>
      <c r="AE75" s="472"/>
      <c r="AF75" s="267"/>
      <c r="AG75" s="470"/>
      <c r="AH75" s="471"/>
      <c r="AI75" s="471"/>
      <c r="AJ75" s="471"/>
      <c r="AK75" s="472"/>
      <c r="AM75" s="322"/>
      <c r="AN75" s="323"/>
      <c r="AO75" s="323"/>
      <c r="AP75" s="323"/>
      <c r="AQ75" s="324">
        <f t="shared" si="51"/>
        <v>0</v>
      </c>
      <c r="AR75" s="316">
        <f t="shared" ref="AR75:AR98" si="55">IF(AQ75=0,9,IF(W75&gt;=AQ75,5,IF(W75&gt;=AP75,4,IF(W75&gt;=AO75,3,IF(W75&gt;=AN75,2,IF(W75&lt;AM75,0,1))))))</f>
        <v>9</v>
      </c>
      <c r="AS75" s="299" t="str">
        <f>VLOOKUP(AR75,$BB$8:$BC$14,2,FALSE)</f>
        <v>N/A</v>
      </c>
      <c r="AT75" s="319"/>
      <c r="AU75" s="316">
        <f>IF(AQ75=0,9,IF(X75&gt;=AQ75,5,IF(X75&gt;=AP75,4,IF(X75&gt;=AO75,3,IF(X75&gt;=AN75,2,IF(X75&lt;AM75,0,1))))))</f>
        <v>9</v>
      </c>
      <c r="AV75" s="299" t="str">
        <f>VLOOKUP(AU75,$BB$8:$BC$14,2,FALSE)</f>
        <v>N/A</v>
      </c>
      <c r="AW75" s="319"/>
      <c r="AX75" s="316">
        <f>IF(AQ75=0,9,IF(X75&gt;=AQ75,5,IF(X75&gt;=AP75,4,IF(X75&gt;=AO75,3,IF(X75&gt;=AN75,2,IF(X75&lt;AM75,0,1))))))</f>
        <v>9</v>
      </c>
      <c r="AY75" s="299" t="str">
        <f>VLOOKUP(AX75,$BB$8:$BC$14,2,FALSE)</f>
        <v>N/A</v>
      </c>
      <c r="AZ75" s="319"/>
    </row>
    <row r="76" spans="1:52" x14ac:dyDescent="0.25">
      <c r="A76" s="529">
        <v>69</v>
      </c>
      <c r="B76" s="529"/>
      <c r="C76" s="363" t="s">
        <v>199</v>
      </c>
      <c r="D76" s="374" t="s">
        <v>176</v>
      </c>
      <c r="E76" s="312">
        <v>3</v>
      </c>
      <c r="F76" s="312">
        <v>3</v>
      </c>
      <c r="G76" s="312">
        <v>3</v>
      </c>
      <c r="H76" s="312">
        <v>3</v>
      </c>
      <c r="I76" s="313">
        <v>3</v>
      </c>
      <c r="K76" s="362">
        <f t="shared" si="53"/>
        <v>3</v>
      </c>
      <c r="L76" s="298"/>
      <c r="M76" s="299"/>
      <c r="N76" s="299"/>
      <c r="O76" s="299">
        <f>'Manuell filtrering og justering'!D74</f>
        <v>0</v>
      </c>
      <c r="P76" s="300">
        <f>VLOOKUP(C76,'Manuell filtrering og justering'!$A$7:$G$97,'Manuell filtrering og justering'!$G$1,FALSE)</f>
        <v>3</v>
      </c>
      <c r="Q76" s="301">
        <f t="shared" si="54"/>
        <v>0</v>
      </c>
      <c r="R76" s="302">
        <f>IF($S$4='Manuell filtrering og justering'!$I$2,P76,(K76-Q76))</f>
        <v>3</v>
      </c>
      <c r="T76" s="303">
        <f>(BP_40/LE_Credits)*LE04_credits</f>
        <v>0.03</v>
      </c>
      <c r="U76" s="303">
        <f>(LE04_13/LE04_credits)*LE04_user</f>
        <v>0</v>
      </c>
      <c r="W76" s="528">
        <f>'Assessment Issue Scoring'!E1116</f>
        <v>0</v>
      </c>
      <c r="X76" s="304"/>
      <c r="Y76" s="304"/>
      <c r="AA76" s="470"/>
      <c r="AB76" s="471"/>
      <c r="AC76" s="471"/>
      <c r="AD76" s="471"/>
      <c r="AE76" s="472"/>
      <c r="AF76" s="267"/>
      <c r="AG76" s="470"/>
      <c r="AH76" s="471"/>
      <c r="AI76" s="471"/>
      <c r="AJ76" s="471"/>
      <c r="AK76" s="472"/>
      <c r="AM76" s="322"/>
      <c r="AN76" s="323"/>
      <c r="AO76" s="323"/>
      <c r="AP76" s="323"/>
      <c r="AQ76" s="324">
        <f t="shared" si="51"/>
        <v>0</v>
      </c>
      <c r="AR76" s="316">
        <f t="shared" si="55"/>
        <v>9</v>
      </c>
      <c r="AS76" s="299" t="str">
        <f>VLOOKUP(AR76,$BB$8:$BC$14,2,FALSE)</f>
        <v>N/A</v>
      </c>
      <c r="AT76" s="319"/>
      <c r="AU76" s="316">
        <f>IF(AQ76=0,9,IF(X76&gt;=AQ76,5,IF(X76&gt;=AP76,4,IF(X76&gt;=AO76,3,IF(X76&gt;=AN76,2,IF(X76&lt;AM76,0,1))))))</f>
        <v>9</v>
      </c>
      <c r="AV76" s="299" t="str">
        <f>VLOOKUP(AU76,$BB$8:$BC$14,2,FALSE)</f>
        <v>N/A</v>
      </c>
      <c r="AW76" s="319"/>
      <c r="AX76" s="316">
        <f>IF(AQ76=0,9,IF(X76&gt;=AQ76,5,IF(X76&gt;=AP76,4,IF(X76&gt;=AO76,3,IF(X76&gt;=AN76,2,IF(X76&lt;AM76,0,1))))))</f>
        <v>9</v>
      </c>
      <c r="AY76" s="299" t="str">
        <f>VLOOKUP(AX76,$BB$8:$BC$14,2,FALSE)</f>
        <v>N/A</v>
      </c>
      <c r="AZ76" s="319"/>
    </row>
    <row r="77" spans="1:52" x14ac:dyDescent="0.25">
      <c r="A77" s="529">
        <v>70</v>
      </c>
      <c r="B77" s="529"/>
      <c r="C77" s="363" t="s">
        <v>200</v>
      </c>
      <c r="D77" s="374" t="s">
        <v>177</v>
      </c>
      <c r="E77" s="312">
        <v>2</v>
      </c>
      <c r="F77" s="312">
        <v>2</v>
      </c>
      <c r="G77" s="312">
        <v>2</v>
      </c>
      <c r="H77" s="312">
        <v>2</v>
      </c>
      <c r="I77" s="313">
        <v>2</v>
      </c>
      <c r="K77" s="362">
        <f t="shared" si="53"/>
        <v>2</v>
      </c>
      <c r="L77" s="298"/>
      <c r="M77" s="299"/>
      <c r="N77" s="299"/>
      <c r="O77" s="299">
        <f>'Manuell filtrering og justering'!D75</f>
        <v>0</v>
      </c>
      <c r="P77" s="300">
        <f>VLOOKUP(C77,'Manuell filtrering og justering'!$A$7:$G$97,'Manuell filtrering og justering'!$G$1,FALSE)</f>
        <v>2</v>
      </c>
      <c r="Q77" s="301">
        <f t="shared" si="54"/>
        <v>0</v>
      </c>
      <c r="R77" s="302">
        <f>IF($S$4='Manuell filtrering og justering'!$I$2,P77,(K77-Q77))</f>
        <v>2</v>
      </c>
      <c r="T77" s="303">
        <f>(BP_40/LE_Credits)*LE05_credits</f>
        <v>0.02</v>
      </c>
      <c r="U77" s="303">
        <f>(LE05_14/LE05_credits)*LE05_user</f>
        <v>0</v>
      </c>
      <c r="W77" s="528">
        <f>'Assessment Issue Scoring'!E1143</f>
        <v>0</v>
      </c>
      <c r="X77" s="304"/>
      <c r="Y77" s="304"/>
      <c r="AA77" s="470"/>
      <c r="AB77" s="471"/>
      <c r="AC77" s="471"/>
      <c r="AD77" s="471"/>
      <c r="AE77" s="472"/>
      <c r="AF77" s="267"/>
      <c r="AG77" s="470"/>
      <c r="AH77" s="471"/>
      <c r="AI77" s="471"/>
      <c r="AJ77" s="471"/>
      <c r="AK77" s="472"/>
      <c r="AM77" s="322"/>
      <c r="AN77" s="323"/>
      <c r="AO77" s="323"/>
      <c r="AP77" s="323"/>
      <c r="AQ77" s="324">
        <f t="shared" si="51"/>
        <v>0</v>
      </c>
      <c r="AR77" s="316">
        <f t="shared" si="55"/>
        <v>9</v>
      </c>
      <c r="AS77" s="299" t="str">
        <f>VLOOKUP(AR77,$BB$8:$BC$14,2,FALSE)</f>
        <v>N/A</v>
      </c>
      <c r="AT77" s="319"/>
      <c r="AU77" s="316">
        <f>IF(AQ77=0,9,IF(X77&gt;=AQ77,5,IF(X77&gt;=AP77,4,IF(X77&gt;=AO77,3,IF(X77&gt;=AN77,2,IF(X77&lt;AM77,0,1))))))</f>
        <v>9</v>
      </c>
      <c r="AV77" s="299" t="str">
        <f>VLOOKUP(AU77,$BB$8:$BC$14,2,FALSE)</f>
        <v>N/A</v>
      </c>
      <c r="AW77" s="319"/>
      <c r="AX77" s="316">
        <f>IF(AQ77=0,9,IF(X77&gt;=AQ77,5,IF(X77&gt;=AP77,4,IF(X77&gt;=AO77,3,IF(X77&gt;=AN77,2,IF(X77&lt;AM77,0,1))))))</f>
        <v>9</v>
      </c>
      <c r="AY77" s="299" t="str">
        <f>VLOOKUP(AX77,$BB$8:$BC$14,2,FALSE)</f>
        <v>N/A</v>
      </c>
      <c r="AZ77" s="319"/>
    </row>
    <row r="78" spans="1:52" ht="15.75" thickBot="1" x14ac:dyDescent="0.3">
      <c r="A78" s="529">
        <v>71</v>
      </c>
      <c r="B78" s="529"/>
      <c r="C78" s="363" t="s">
        <v>201</v>
      </c>
      <c r="D78" s="374" t="s">
        <v>183</v>
      </c>
      <c r="E78" s="312"/>
      <c r="F78" s="312"/>
      <c r="G78" s="312">
        <v>2</v>
      </c>
      <c r="H78" s="312"/>
      <c r="I78" s="313"/>
      <c r="K78" s="362">
        <f t="shared" si="53"/>
        <v>0</v>
      </c>
      <c r="L78" s="298"/>
      <c r="M78" s="299"/>
      <c r="N78" s="299"/>
      <c r="O78" s="299">
        <f>'Manuell filtrering og justering'!D76</f>
        <v>0</v>
      </c>
      <c r="P78" s="300">
        <f>VLOOKUP(C78,'Manuell filtrering og justering'!$A$7:$G$97,'Manuell filtrering og justering'!$G$1,FALSE)</f>
        <v>0</v>
      </c>
      <c r="Q78" s="301">
        <f t="shared" si="54"/>
        <v>0</v>
      </c>
      <c r="R78" s="302">
        <f>IF($S$4='Manuell filtrering og justering'!$I$2,P78,(K78-Q78))</f>
        <v>0</v>
      </c>
      <c r="T78" s="303">
        <f>(BP_40/LE_Credits)*LE06_credits</f>
        <v>0</v>
      </c>
      <c r="U78" s="303">
        <f>IFERROR((T78/LE06_credits)*LE06_user,0)</f>
        <v>0</v>
      </c>
      <c r="W78" s="528">
        <f>'Assessment Issue Scoring'!E1167</f>
        <v>0</v>
      </c>
      <c r="X78" s="304"/>
      <c r="Y78" s="304"/>
      <c r="AA78" s="473"/>
      <c r="AB78" s="474"/>
      <c r="AC78" s="474"/>
      <c r="AD78" s="474"/>
      <c r="AE78" s="475"/>
      <c r="AF78" s="267"/>
      <c r="AG78" s="473"/>
      <c r="AH78" s="474"/>
      <c r="AI78" s="474"/>
      <c r="AJ78" s="474"/>
      <c r="AK78" s="475"/>
      <c r="AM78" s="333"/>
      <c r="AN78" s="335"/>
      <c r="AO78" s="335"/>
      <c r="AP78" s="335"/>
      <c r="AQ78" s="336">
        <f t="shared" si="51"/>
        <v>0</v>
      </c>
      <c r="AR78" s="337">
        <f t="shared" si="55"/>
        <v>9</v>
      </c>
      <c r="AS78" s="338" t="str">
        <f>VLOOKUP(AR78,$BB$8:$BC$14,2,FALSE)</f>
        <v>N/A</v>
      </c>
      <c r="AT78" s="339"/>
      <c r="AU78" s="337">
        <f>IF(AQ78=0,9,IF(X78&gt;=AQ78,5,IF(X78&gt;=AP78,4,IF(X78&gt;=AO78,3,IF(X78&gt;=AN78,2,IF(X78&lt;AM78,0,1))))))</f>
        <v>9</v>
      </c>
      <c r="AV78" s="338" t="str">
        <f>VLOOKUP(AU78,$BB$8:$BC$14,2,FALSE)</f>
        <v>N/A</v>
      </c>
      <c r="AW78" s="339"/>
      <c r="AX78" s="337">
        <f>IF(AQ78=0,9,IF(X78&gt;=AQ78,5,IF(X78&gt;=AP78,4,IF(X78&gt;=AO78,3,IF(X78&gt;=AN78,2,IF(X78&lt;AM78,0,1))))))</f>
        <v>9</v>
      </c>
      <c r="AY78" s="338" t="str">
        <f>VLOOKUP(AX78,$BB$8:$BC$14,2,FALSE)</f>
        <v>N/A</v>
      </c>
      <c r="AZ78" s="339"/>
    </row>
    <row r="79" spans="1:52" ht="15.75" thickBot="1" x14ac:dyDescent="0.3">
      <c r="A79" s="529">
        <v>72</v>
      </c>
      <c r="C79" s="340"/>
      <c r="D79" s="341" t="s">
        <v>231</v>
      </c>
      <c r="E79" s="341">
        <f>SUM(E74:E78)</f>
        <v>10</v>
      </c>
      <c r="F79" s="341">
        <f>SUM(F74:F78)</f>
        <v>10</v>
      </c>
      <c r="G79" s="341">
        <f>SUM(G74:G78)</f>
        <v>12</v>
      </c>
      <c r="H79" s="341">
        <f>SUM(H74:H78)</f>
        <v>10</v>
      </c>
      <c r="I79" s="342">
        <f>SUM(I74:I78)</f>
        <v>10</v>
      </c>
      <c r="K79" s="368">
        <f t="shared" si="53"/>
        <v>10</v>
      </c>
      <c r="L79" s="344"/>
      <c r="M79" s="345"/>
      <c r="N79" s="345"/>
      <c r="O79" s="345"/>
      <c r="P79" s="346"/>
      <c r="Q79" s="347">
        <f>SUM(Q74:Q78)</f>
        <v>0</v>
      </c>
      <c r="R79" s="369">
        <f>SUM(R74:R78)</f>
        <v>10</v>
      </c>
      <c r="T79" s="349">
        <f>SUM(T74:T78)</f>
        <v>0.1</v>
      </c>
      <c r="U79" s="349">
        <f>SUM(U74:U78)</f>
        <v>0</v>
      </c>
      <c r="W79" s="25">
        <f>SUM(W74:W78)</f>
        <v>0</v>
      </c>
      <c r="X79" s="25">
        <f t="shared" ref="X79:Y79" si="56">SUM(X74:X78)</f>
        <v>0</v>
      </c>
      <c r="Y79" s="25">
        <f t="shared" si="56"/>
        <v>0</v>
      </c>
      <c r="AA79" s="267"/>
      <c r="AB79" s="267"/>
      <c r="AC79" s="267"/>
      <c r="AD79" s="267"/>
      <c r="AE79" s="267"/>
      <c r="AF79" s="267"/>
      <c r="AG79" s="267"/>
      <c r="AH79" s="267"/>
      <c r="AI79" s="267"/>
      <c r="AJ79" s="267"/>
      <c r="AK79" s="267"/>
      <c r="AM79" s="178"/>
      <c r="AN79" s="350"/>
      <c r="AO79" s="178"/>
      <c r="AP79" s="178"/>
      <c r="AQ79" s="178"/>
    </row>
    <row r="80" spans="1:52" ht="15.75" thickBot="1" x14ac:dyDescent="0.3">
      <c r="A80" s="529">
        <v>73</v>
      </c>
      <c r="W80" s="3"/>
      <c r="X80" s="3"/>
      <c r="Y80" s="3"/>
      <c r="AA80" s="267"/>
      <c r="AB80" s="267"/>
      <c r="AC80" s="267"/>
      <c r="AD80" s="267"/>
      <c r="AE80" s="267"/>
      <c r="AF80" s="267"/>
      <c r="AG80" s="267"/>
      <c r="AH80" s="267"/>
      <c r="AI80" s="267"/>
      <c r="AJ80" s="267"/>
      <c r="AK80" s="267"/>
      <c r="AM80" s="178"/>
      <c r="AN80" s="178"/>
      <c r="AO80" s="178"/>
      <c r="AP80" s="178"/>
      <c r="AQ80" s="178"/>
    </row>
    <row r="81" spans="1:52" ht="15.75" thickBot="1" x14ac:dyDescent="0.3">
      <c r="A81" s="529">
        <v>74</v>
      </c>
      <c r="C81" s="274"/>
      <c r="D81" s="275" t="s">
        <v>75</v>
      </c>
      <c r="E81" s="276" t="str">
        <f>$E$8</f>
        <v>Office</v>
      </c>
      <c r="F81" s="276" t="str">
        <f>$F$8</f>
        <v>Retail</v>
      </c>
      <c r="G81" s="276" t="str">
        <f>$G$8</f>
        <v>Residential</v>
      </c>
      <c r="H81" s="276" t="str">
        <f>$H$8</f>
        <v>Industrial</v>
      </c>
      <c r="I81" s="277" t="str">
        <f>$I$8</f>
        <v>Education</v>
      </c>
      <c r="K81" s="266" t="str">
        <f>$D$5</f>
        <v>Office</v>
      </c>
      <c r="L81" s="351"/>
      <c r="M81" s="352"/>
      <c r="N81" s="352"/>
      <c r="O81" s="352"/>
      <c r="P81" s="756" t="s">
        <v>1167</v>
      </c>
      <c r="Q81" s="281" t="s">
        <v>231</v>
      </c>
      <c r="R81" s="266"/>
      <c r="W81" s="71"/>
      <c r="X81" s="93"/>
      <c r="Y81" s="93"/>
      <c r="AA81" s="267"/>
      <c r="AB81" s="267"/>
      <c r="AC81" s="267"/>
      <c r="AD81" s="267"/>
      <c r="AE81" s="267"/>
      <c r="AF81" s="267"/>
      <c r="AG81" s="267"/>
      <c r="AH81" s="267"/>
      <c r="AI81" s="267"/>
      <c r="AJ81" s="267"/>
      <c r="AK81" s="267"/>
      <c r="AM81" s="178"/>
      <c r="AN81" s="178"/>
      <c r="AO81" s="178"/>
      <c r="AP81" s="178"/>
      <c r="AQ81" s="178"/>
    </row>
    <row r="82" spans="1:52" x14ac:dyDescent="0.25">
      <c r="A82" s="529">
        <v>75</v>
      </c>
      <c r="B82" s="529"/>
      <c r="C82" s="558" t="s">
        <v>202</v>
      </c>
      <c r="D82" s="559" t="s">
        <v>178</v>
      </c>
      <c r="E82" s="462">
        <v>3</v>
      </c>
      <c r="F82" s="462">
        <v>3</v>
      </c>
      <c r="G82" s="462">
        <v>3</v>
      </c>
      <c r="H82" s="462">
        <v>3</v>
      </c>
      <c r="I82" s="463">
        <v>3</v>
      </c>
      <c r="K82" s="353">
        <f t="shared" ref="K82:K87" si="57">HLOOKUP($D$5,$E$8:$I$99,$A82,FALSE)</f>
        <v>3</v>
      </c>
      <c r="L82" s="363">
        <f>IF(AD_Ozoneleg=AD_Yes,1,0)*0</f>
        <v>0</v>
      </c>
      <c r="M82" s="374">
        <f>IF(AND(ADBT0=ADBT1,ADIND_option02=AD_no,ADIND_option03=AD_no),Poeng!K82,0)</f>
        <v>0</v>
      </c>
      <c r="N82" s="299"/>
      <c r="O82" s="299">
        <f>'Manuell filtrering og justering'!D80</f>
        <v>0</v>
      </c>
      <c r="P82" s="300">
        <f>VLOOKUP(C82,'Manuell filtrering og justering'!$A$7:$G$97,'Manuell filtrering og justering'!$G$1,FALSE)</f>
        <v>3</v>
      </c>
      <c r="Q82" s="301">
        <f>IF(SUM(L82:O82)&gt;K82,K82,SUM(L82:O82))</f>
        <v>0</v>
      </c>
      <c r="R82" s="302">
        <f>IF($S$4='Manuell filtrering og justering'!$I$2,P82,(K82-Q82))</f>
        <v>3</v>
      </c>
      <c r="T82" s="303">
        <f>(Pol_Weight/Pol_Credits)*Pol01_credits</f>
        <v>1.846153846153846E-2</v>
      </c>
      <c r="U82" s="303">
        <f>IF(R82=0,0,(Pol01_19/Pol01_credits)*Pol01_user)</f>
        <v>0</v>
      </c>
      <c r="W82" s="528">
        <f>'Assessment Issue Scoring'!E1202</f>
        <v>0</v>
      </c>
      <c r="X82" s="304"/>
      <c r="Y82" s="304"/>
      <c r="AA82" s="476"/>
      <c r="AB82" s="477"/>
      <c r="AC82" s="477"/>
      <c r="AD82" s="477"/>
      <c r="AE82" s="478"/>
      <c r="AF82" s="267"/>
      <c r="AG82" s="476"/>
      <c r="AH82" s="477"/>
      <c r="AI82" s="477"/>
      <c r="AJ82" s="477"/>
      <c r="AK82" s="478"/>
      <c r="AM82" s="359"/>
      <c r="AN82" s="360"/>
      <c r="AO82" s="360"/>
      <c r="AP82" s="360"/>
      <c r="AQ82" s="361">
        <f t="shared" si="51"/>
        <v>0</v>
      </c>
      <c r="AR82" s="307">
        <f t="shared" si="55"/>
        <v>9</v>
      </c>
      <c r="AS82" s="310" t="str">
        <f>VLOOKUP(AR82,$BB$8:$BC$14,2,FALSE)</f>
        <v>N/A</v>
      </c>
      <c r="AT82" s="311"/>
      <c r="AU82" s="307">
        <f>IF(AQ82=0,9,IF(X82&gt;=AQ82,5,IF(X82&gt;=AP82,4,IF(X82&gt;=AO82,3,IF(X82&gt;=AN82,2,IF(X82&lt;AM82,0,1))))))</f>
        <v>9</v>
      </c>
      <c r="AV82" s="310" t="str">
        <f>VLOOKUP(AU82,$BB$8:$BC$14,2,FALSE)</f>
        <v>N/A</v>
      </c>
      <c r="AW82" s="311"/>
      <c r="AX82" s="307">
        <f>IF(AQ82=0,9,IF(X82&gt;=AQ82,5,IF(X82&gt;=AP82,4,IF(X82&gt;=AO82,3,IF(X82&gt;=AN82,2,IF(X82&lt;AM82,0,1))))))</f>
        <v>9</v>
      </c>
      <c r="AY82" s="310" t="str">
        <f>VLOOKUP(AX82,$BB$8:$BC$14,2,FALSE)</f>
        <v>N/A</v>
      </c>
      <c r="AZ82" s="311"/>
    </row>
    <row r="83" spans="1:52" x14ac:dyDescent="0.25">
      <c r="A83" s="529">
        <v>76</v>
      </c>
      <c r="B83" s="529"/>
      <c r="C83" s="363" t="s">
        <v>203</v>
      </c>
      <c r="D83" s="374" t="s">
        <v>179</v>
      </c>
      <c r="E83" s="312">
        <v>3</v>
      </c>
      <c r="F83" s="312">
        <v>3</v>
      </c>
      <c r="G83" s="312">
        <v>3</v>
      </c>
      <c r="H83" s="312">
        <v>3</v>
      </c>
      <c r="I83" s="313">
        <v>3</v>
      </c>
      <c r="K83" s="362">
        <f t="shared" si="57"/>
        <v>3</v>
      </c>
      <c r="L83" s="363">
        <f>IF(AND(ADBT0=ADBT1,ADIND_option02=AD_no,ADIND_option03=AD_no),Poeng!K83,0)</f>
        <v>0</v>
      </c>
      <c r="M83" s="299"/>
      <c r="N83" s="299"/>
      <c r="O83" s="299">
        <f>'Manuell filtrering og justering'!D81</f>
        <v>0</v>
      </c>
      <c r="P83" s="300">
        <f>VLOOKUP(C83,'Manuell filtrering og justering'!$A$7:$G$97,'Manuell filtrering og justering'!$G$1,FALSE)</f>
        <v>3</v>
      </c>
      <c r="Q83" s="301">
        <f t="shared" ref="Q83:Q86" si="58">IF(SUM(L83:O83)&gt;K83,K83,SUM(L83:O83))</f>
        <v>0</v>
      </c>
      <c r="R83" s="302">
        <f>IF($S$4='Manuell filtrering og justering'!$I$2,P83,(K83-Q83))</f>
        <v>3</v>
      </c>
      <c r="T83" s="303">
        <f>(Pol_Weight/Pol_Credits)*Pol02_credits</f>
        <v>1.846153846153846E-2</v>
      </c>
      <c r="U83" s="303">
        <f>IF(Pol02_credits=0,0,(Pol02_26/Pol02_credits)*Pol02_user)</f>
        <v>0</v>
      </c>
      <c r="W83" s="527">
        <f>'Assessment Issue Scoring'!E1229</f>
        <v>0</v>
      </c>
      <c r="X83" s="304"/>
      <c r="Y83" s="304"/>
      <c r="AA83" s="470"/>
      <c r="AB83" s="471"/>
      <c r="AC83" s="471"/>
      <c r="AD83" s="471"/>
      <c r="AE83" s="472"/>
      <c r="AF83" s="267"/>
      <c r="AG83" s="470"/>
      <c r="AH83" s="471"/>
      <c r="AI83" s="471"/>
      <c r="AJ83" s="471"/>
      <c r="AK83" s="472"/>
      <c r="AM83" s="322"/>
      <c r="AN83" s="323"/>
      <c r="AO83" s="323"/>
      <c r="AP83" s="323"/>
      <c r="AQ83" s="324">
        <f t="shared" si="51"/>
        <v>0</v>
      </c>
      <c r="AR83" s="316">
        <f t="shared" si="55"/>
        <v>9</v>
      </c>
      <c r="AS83" s="299" t="str">
        <f>VLOOKUP(AR83,$BB$8:$BC$14,2,FALSE)</f>
        <v>N/A</v>
      </c>
      <c r="AT83" s="319"/>
      <c r="AU83" s="316">
        <f>IF(AQ83=0,9,IF(X83&gt;=AQ83,5,IF(X83&gt;=AP83,4,IF(X83&gt;=AO83,3,IF(X83&gt;=AN83,2,IF(X83&lt;AM83,0,1))))))</f>
        <v>9</v>
      </c>
      <c r="AV83" s="299" t="str">
        <f>VLOOKUP(AU83,$BB$8:$BC$14,2,FALSE)</f>
        <v>N/A</v>
      </c>
      <c r="AW83" s="319"/>
      <c r="AX83" s="316">
        <f>IF(AQ83=0,9,IF(X83&gt;=AQ83,5,IF(X83&gt;=AP83,4,IF(X83&gt;=AO83,3,IF(X83&gt;=AN83,2,IF(X83&lt;AM83,0,1))))))</f>
        <v>9</v>
      </c>
      <c r="AY83" s="299" t="str">
        <f>VLOOKUP(AX83,$BB$8:$BC$14,2,FALSE)</f>
        <v>N/A</v>
      </c>
      <c r="AZ83" s="319"/>
    </row>
    <row r="84" spans="1:52" x14ac:dyDescent="0.25">
      <c r="A84" s="529">
        <v>77</v>
      </c>
      <c r="B84" s="529"/>
      <c r="C84" s="363" t="s">
        <v>204</v>
      </c>
      <c r="D84" s="374" t="s">
        <v>180</v>
      </c>
      <c r="E84" s="312">
        <v>5</v>
      </c>
      <c r="F84" s="312">
        <v>5</v>
      </c>
      <c r="G84" s="312">
        <v>5</v>
      </c>
      <c r="H84" s="312">
        <v>5</v>
      </c>
      <c r="I84" s="313">
        <v>5</v>
      </c>
      <c r="K84" s="362">
        <f t="shared" si="57"/>
        <v>5</v>
      </c>
      <c r="L84" s="298"/>
      <c r="M84" s="299"/>
      <c r="N84" s="299"/>
      <c r="O84" s="299">
        <f>'Manuell filtrering og justering'!D82</f>
        <v>0</v>
      </c>
      <c r="P84" s="300">
        <f>VLOOKUP(C84,'Manuell filtrering og justering'!$A$7:$G$97,'Manuell filtrering og justering'!$G$1,FALSE)</f>
        <v>5</v>
      </c>
      <c r="Q84" s="301">
        <f t="shared" si="58"/>
        <v>0</v>
      </c>
      <c r="R84" s="302">
        <f>IF($S$4='Manuell filtrering og justering'!$I$2,P84,(K84-Q84))</f>
        <v>5</v>
      </c>
      <c r="T84" s="303">
        <f>(Pol_Weight/Pol_Credits)*Pol03_credits</f>
        <v>3.0769230769230771E-2</v>
      </c>
      <c r="U84" s="303">
        <f>(Pol03_14/Pol03_credits)*Pol03_user</f>
        <v>0</v>
      </c>
      <c r="W84" s="528">
        <f>'Assessment Issue Scoring'!E1253</f>
        <v>0</v>
      </c>
      <c r="X84" s="304"/>
      <c r="Y84" s="304"/>
      <c r="AA84" s="470"/>
      <c r="AB84" s="471"/>
      <c r="AC84" s="471"/>
      <c r="AD84" s="471"/>
      <c r="AE84" s="472"/>
      <c r="AF84" s="267"/>
      <c r="AG84" s="470"/>
      <c r="AH84" s="471"/>
      <c r="AI84" s="471"/>
      <c r="AJ84" s="471"/>
      <c r="AK84" s="472"/>
      <c r="AM84" s="322"/>
      <c r="AN84" s="323"/>
      <c r="AO84" s="323"/>
      <c r="AP84" s="323"/>
      <c r="AQ84" s="324">
        <f t="shared" si="51"/>
        <v>0</v>
      </c>
      <c r="AR84" s="316">
        <f t="shared" si="55"/>
        <v>9</v>
      </c>
      <c r="AS84" s="299" t="str">
        <f>VLOOKUP(AR84,$BB$8:$BC$14,2,FALSE)</f>
        <v>N/A</v>
      </c>
      <c r="AT84" s="319"/>
      <c r="AU84" s="316">
        <f>IF(AQ84=0,9,IF(X84&gt;=AQ84,5,IF(X84&gt;=AP84,4,IF(X84&gt;=AO84,3,IF(X84&gt;=AN84,2,IF(X84&lt;AM84,0,1))))))</f>
        <v>9</v>
      </c>
      <c r="AV84" s="299" t="str">
        <f>VLOOKUP(AU84,$BB$8:$BC$14,2,FALSE)</f>
        <v>N/A</v>
      </c>
      <c r="AW84" s="319"/>
      <c r="AX84" s="316">
        <f>IF(AQ84=0,9,IF(X84&gt;=AQ84,5,IF(X84&gt;=AP84,4,IF(X84&gt;=AO84,3,IF(X84&gt;=AN84,2,IF(X84&lt;AM84,0,1))))))</f>
        <v>9</v>
      </c>
      <c r="AY84" s="299" t="str">
        <f>VLOOKUP(AX84,$BB$8:$BC$14,2,FALSE)</f>
        <v>N/A</v>
      </c>
      <c r="AZ84" s="319"/>
    </row>
    <row r="85" spans="1:52" x14ac:dyDescent="0.25">
      <c r="A85" s="529">
        <v>78</v>
      </c>
      <c r="B85" s="529"/>
      <c r="C85" s="363" t="s">
        <v>205</v>
      </c>
      <c r="D85" s="374" t="s">
        <v>181</v>
      </c>
      <c r="E85" s="312">
        <v>1</v>
      </c>
      <c r="F85" s="312">
        <v>1</v>
      </c>
      <c r="G85" s="312">
        <v>1</v>
      </c>
      <c r="H85" s="312">
        <v>1</v>
      </c>
      <c r="I85" s="313">
        <v>1</v>
      </c>
      <c r="K85" s="362">
        <f t="shared" si="57"/>
        <v>1</v>
      </c>
      <c r="L85" s="298"/>
      <c r="M85" s="299"/>
      <c r="N85" s="299"/>
      <c r="O85" s="299">
        <f>'Manuell filtrering og justering'!D83</f>
        <v>0</v>
      </c>
      <c r="P85" s="300">
        <f>VLOOKUP(C85,'Manuell filtrering og justering'!$A$7:$G$97,'Manuell filtrering og justering'!$G$1,FALSE)</f>
        <v>1</v>
      </c>
      <c r="Q85" s="301">
        <f t="shared" si="58"/>
        <v>0</v>
      </c>
      <c r="R85" s="302">
        <f>IF($S$4='Manuell filtrering og justering'!$I$2,P85,(K85-Q85))</f>
        <v>1</v>
      </c>
      <c r="T85" s="303">
        <f>(Pol_Weight/Pol_Credits)*Pol04_credits</f>
        <v>6.1538461538461538E-3</v>
      </c>
      <c r="U85" s="303">
        <f>(Pol04_05/Pol04_credits)*Pol04_user</f>
        <v>0</v>
      </c>
      <c r="W85" s="528">
        <f>'Assessment Issue Scoring'!E1273</f>
        <v>0</v>
      </c>
      <c r="X85" s="304"/>
      <c r="Y85" s="304"/>
      <c r="AA85" s="470"/>
      <c r="AB85" s="471"/>
      <c r="AC85" s="471"/>
      <c r="AD85" s="471"/>
      <c r="AE85" s="472"/>
      <c r="AF85" s="267"/>
      <c r="AG85" s="470"/>
      <c r="AH85" s="471"/>
      <c r="AI85" s="471"/>
      <c r="AJ85" s="471"/>
      <c r="AK85" s="472"/>
      <c r="AM85" s="322"/>
      <c r="AN85" s="323"/>
      <c r="AO85" s="323"/>
      <c r="AP85" s="323"/>
      <c r="AQ85" s="324">
        <f t="shared" si="51"/>
        <v>0</v>
      </c>
      <c r="AR85" s="316">
        <f t="shared" si="55"/>
        <v>9</v>
      </c>
      <c r="AS85" s="299" t="str">
        <f>VLOOKUP(AR85,$BB$8:$BC$14,2,FALSE)</f>
        <v>N/A</v>
      </c>
      <c r="AT85" s="319"/>
      <c r="AU85" s="316">
        <f>IF(AQ85=0,9,IF(X85&gt;=AQ85,5,IF(X85&gt;=AP85,4,IF(X85&gt;=AO85,3,IF(X85&gt;=AN85,2,IF(X85&lt;AM85,0,1))))))</f>
        <v>9</v>
      </c>
      <c r="AV85" s="299" t="str">
        <f>VLOOKUP(AU85,$BB$8:$BC$14,2,FALSE)</f>
        <v>N/A</v>
      </c>
      <c r="AW85" s="319"/>
      <c r="AX85" s="316">
        <f>IF(AQ85=0,9,IF(X85&gt;=AQ85,5,IF(X85&gt;=AP85,4,IF(X85&gt;=AO85,3,IF(X85&gt;=AN85,2,IF(X85&lt;AM85,0,1))))))</f>
        <v>9</v>
      </c>
      <c r="AY85" s="299" t="str">
        <f>VLOOKUP(AX85,$BB$8:$BC$14,2,FALSE)</f>
        <v>N/A</v>
      </c>
      <c r="AZ85" s="319"/>
    </row>
    <row r="86" spans="1:52" ht="15.75" thickBot="1" x14ac:dyDescent="0.3">
      <c r="A86" s="529">
        <v>79</v>
      </c>
      <c r="B86" s="529"/>
      <c r="C86" s="363" t="s">
        <v>206</v>
      </c>
      <c r="D86" s="374" t="s">
        <v>184</v>
      </c>
      <c r="E86" s="312">
        <v>1</v>
      </c>
      <c r="F86" s="312">
        <v>1</v>
      </c>
      <c r="G86" s="312"/>
      <c r="H86" s="461">
        <v>1</v>
      </c>
      <c r="I86" s="313">
        <v>1</v>
      </c>
      <c r="K86" s="362">
        <f t="shared" si="57"/>
        <v>1</v>
      </c>
      <c r="L86" s="298"/>
      <c r="M86" s="299"/>
      <c r="N86" s="299"/>
      <c r="O86" s="299">
        <f>'Manuell filtrering og justering'!D84</f>
        <v>0</v>
      </c>
      <c r="P86" s="300">
        <f>VLOOKUP(C86,'Manuell filtrering og justering'!$A$7:$G$97,'Manuell filtrering og justering'!$G$1,FALSE)</f>
        <v>1</v>
      </c>
      <c r="Q86" s="301">
        <f t="shared" si="58"/>
        <v>0</v>
      </c>
      <c r="R86" s="302">
        <f>IF($S$4='Manuell filtrering og justering'!$I$2,P86,(K86-Q86))</f>
        <v>1</v>
      </c>
      <c r="T86" s="303">
        <f>(Pol_Weight/Pol_Credits)*Pol05_credits</f>
        <v>6.1538461538461538E-3</v>
      </c>
      <c r="U86" s="303">
        <f>IFERROR((Pol05_10/Pol05_credits)*Pol05_user,0)</f>
        <v>0</v>
      </c>
      <c r="W86" s="528">
        <f>'Assessment Issue Scoring'!E1294</f>
        <v>0</v>
      </c>
      <c r="X86" s="304"/>
      <c r="Y86" s="304"/>
      <c r="AA86" s="473"/>
      <c r="AB86" s="474"/>
      <c r="AC86" s="474"/>
      <c r="AD86" s="474"/>
      <c r="AE86" s="475"/>
      <c r="AF86" s="267"/>
      <c r="AG86" s="473"/>
      <c r="AH86" s="474"/>
      <c r="AI86" s="474"/>
      <c r="AJ86" s="474"/>
      <c r="AK86" s="475"/>
      <c r="AM86" s="333"/>
      <c r="AN86" s="335"/>
      <c r="AO86" s="335"/>
      <c r="AP86" s="335"/>
      <c r="AQ86" s="336">
        <f t="shared" si="51"/>
        <v>0</v>
      </c>
      <c r="AR86" s="337">
        <f t="shared" si="55"/>
        <v>9</v>
      </c>
      <c r="AS86" s="338" t="str">
        <f>VLOOKUP(AR86,$BB$8:$BC$14,2,FALSE)</f>
        <v>N/A</v>
      </c>
      <c r="AT86" s="339"/>
      <c r="AU86" s="337">
        <f>IF(AQ86=0,9,IF(X86&gt;=AQ86,5,IF(X86&gt;=AP86,4,IF(X86&gt;=AO86,3,IF(X86&gt;=AN86,2,IF(X86&lt;AM86,0,1))))))</f>
        <v>9</v>
      </c>
      <c r="AV86" s="338" t="str">
        <f>VLOOKUP(AU86,$BB$8:$BC$14,2,FALSE)</f>
        <v>N/A</v>
      </c>
      <c r="AW86" s="339"/>
      <c r="AX86" s="337">
        <f>IF(AQ86=0,9,IF(X86&gt;=AQ86,5,IF(X86&gt;=AP86,4,IF(X86&gt;=AO86,3,IF(X86&gt;=AN86,2,IF(X86&lt;AM86,0,1))))))</f>
        <v>9</v>
      </c>
      <c r="AY86" s="338" t="str">
        <f>VLOOKUP(AX86,$BB$8:$BC$14,2,FALSE)</f>
        <v>N/A</v>
      </c>
      <c r="AZ86" s="339"/>
    </row>
    <row r="87" spans="1:52" ht="15.75" thickBot="1" x14ac:dyDescent="0.3">
      <c r="A87" s="529">
        <v>80</v>
      </c>
      <c r="C87" s="340"/>
      <c r="D87" s="341" t="s">
        <v>231</v>
      </c>
      <c r="E87" s="341">
        <f>SUM(E82:E86)</f>
        <v>13</v>
      </c>
      <c r="F87" s="341">
        <f>SUM(F82:F86)</f>
        <v>13</v>
      </c>
      <c r="G87" s="341">
        <f>SUM(G82:G86)</f>
        <v>12</v>
      </c>
      <c r="H87" s="341">
        <f>SUM(H82:H86)</f>
        <v>13</v>
      </c>
      <c r="I87" s="342">
        <f>SUM(I82:I86)</f>
        <v>13</v>
      </c>
      <c r="K87" s="368">
        <f t="shared" si="57"/>
        <v>13</v>
      </c>
      <c r="L87" s="344"/>
      <c r="M87" s="345"/>
      <c r="N87" s="345"/>
      <c r="O87" s="345"/>
      <c r="P87" s="346"/>
      <c r="Q87" s="347">
        <f>SUM(Q82:Q86)</f>
        <v>0</v>
      </c>
      <c r="R87" s="369">
        <f>SUM(R82:R86)</f>
        <v>13</v>
      </c>
      <c r="T87" s="349">
        <f>SUM(T82:T86)</f>
        <v>7.9999999999999988E-2</v>
      </c>
      <c r="U87" s="349">
        <f>SUM(U82:U86)</f>
        <v>0</v>
      </c>
      <c r="W87" s="75">
        <f>SUM(W82:W86)</f>
        <v>0</v>
      </c>
      <c r="X87" s="75">
        <f t="shared" ref="X87:Y87" si="59">SUM(X82:X86)</f>
        <v>0</v>
      </c>
      <c r="Y87" s="75">
        <f t="shared" si="59"/>
        <v>0</v>
      </c>
      <c r="AA87" s="267"/>
      <c r="AB87" s="267"/>
      <c r="AC87" s="267"/>
      <c r="AD87" s="267"/>
      <c r="AE87" s="267"/>
      <c r="AF87" s="267"/>
      <c r="AG87" s="267"/>
      <c r="AH87" s="267"/>
      <c r="AI87" s="267"/>
      <c r="AJ87" s="267"/>
      <c r="AK87" s="267"/>
      <c r="AM87" s="178"/>
      <c r="AN87" s="350"/>
      <c r="AO87" s="178"/>
      <c r="AP87" s="178"/>
      <c r="AQ87" s="178"/>
    </row>
    <row r="88" spans="1:52" ht="15.75" thickBot="1" x14ac:dyDescent="0.3">
      <c r="A88" s="529">
        <v>81</v>
      </c>
      <c r="W88" s="3"/>
      <c r="X88" s="3"/>
      <c r="Y88" s="3"/>
      <c r="AA88" s="267"/>
      <c r="AB88" s="267"/>
      <c r="AC88" s="267"/>
      <c r="AD88" s="267"/>
      <c r="AE88" s="267"/>
      <c r="AF88" s="267"/>
      <c r="AG88" s="267"/>
      <c r="AH88" s="267"/>
      <c r="AI88" s="267"/>
      <c r="AJ88" s="267"/>
      <c r="AK88" s="267"/>
      <c r="AM88" s="178"/>
      <c r="AN88" s="178"/>
      <c r="AO88" s="178"/>
      <c r="AP88" s="178"/>
      <c r="AQ88" s="178"/>
    </row>
    <row r="89" spans="1:52" ht="15.75" thickBot="1" x14ac:dyDescent="0.3">
      <c r="A89" s="529">
        <v>82</v>
      </c>
      <c r="C89" s="274"/>
      <c r="D89" s="275" t="s">
        <v>245</v>
      </c>
      <c r="E89" s="276" t="str">
        <f>$E$8</f>
        <v>Office</v>
      </c>
      <c r="F89" s="276" t="str">
        <f>$F$8</f>
        <v>Retail</v>
      </c>
      <c r="G89" s="276" t="str">
        <f>$G$8</f>
        <v>Residential</v>
      </c>
      <c r="H89" s="276" t="str">
        <f>$H$8</f>
        <v>Industrial</v>
      </c>
      <c r="I89" s="277" t="str">
        <f>$I$8</f>
        <v>Education</v>
      </c>
      <c r="K89" s="266" t="str">
        <f>$D$5</f>
        <v>Office</v>
      </c>
      <c r="L89" s="351"/>
      <c r="M89" s="352"/>
      <c r="N89" s="352"/>
      <c r="O89" s="352"/>
      <c r="P89" s="756" t="s">
        <v>1167</v>
      </c>
      <c r="Q89" s="281" t="s">
        <v>231</v>
      </c>
      <c r="R89" s="266"/>
      <c r="W89" s="71"/>
      <c r="X89" s="93"/>
      <c r="Y89" s="93"/>
      <c r="AA89" s="267"/>
      <c r="AB89" s="267"/>
      <c r="AC89" s="267"/>
      <c r="AD89" s="267"/>
      <c r="AE89" s="267"/>
      <c r="AF89" s="267"/>
      <c r="AG89" s="267"/>
      <c r="AH89" s="267"/>
      <c r="AI89" s="267"/>
      <c r="AJ89" s="267"/>
      <c r="AK89" s="267"/>
      <c r="AM89" s="178"/>
      <c r="AN89" s="178"/>
      <c r="AO89" s="178"/>
      <c r="AP89" s="178"/>
      <c r="AQ89" s="178"/>
    </row>
    <row r="90" spans="1:52" x14ac:dyDescent="0.25">
      <c r="A90" s="529">
        <v>83</v>
      </c>
      <c r="B90" s="529"/>
      <c r="C90" s="558" t="s">
        <v>207</v>
      </c>
      <c r="D90" s="559" t="str">
        <f t="shared" ref="D90:D98" si="60">C90&amp;" - "&amp;D109</f>
        <v>Inn 01 - Man 05 Aftercare</v>
      </c>
      <c r="E90" s="295">
        <v>1</v>
      </c>
      <c r="F90" s="295">
        <v>1</v>
      </c>
      <c r="G90" s="295">
        <v>1</v>
      </c>
      <c r="H90" s="295">
        <v>1</v>
      </c>
      <c r="I90" s="296">
        <v>1</v>
      </c>
      <c r="K90" s="353">
        <f t="shared" ref="K90:K99" si="61">HLOOKUP($D$5,$E$8:$I$99,$A90,FALSE)</f>
        <v>1</v>
      </c>
      <c r="L90" s="298"/>
      <c r="M90" s="299"/>
      <c r="N90" s="299"/>
      <c r="O90" s="299">
        <f>'Manuell filtrering og justering'!D88</f>
        <v>0</v>
      </c>
      <c r="P90" s="300">
        <f>VLOOKUP(C90,'Manuell filtrering og justering'!$A$7:$G$97,'Manuell filtrering og justering'!$G$1,FALSE)</f>
        <v>1</v>
      </c>
      <c r="Q90" s="301">
        <f>IF(SUM(L90:O90)&gt;K90,K90,SUM(L90:O90))</f>
        <v>0</v>
      </c>
      <c r="R90" s="302">
        <f>IF($S$4='Manuell filtrering og justering'!$I$2,P90,(K90-Q90))</f>
        <v>1</v>
      </c>
      <c r="T90" s="303">
        <f>(Inn_Weight/Inn_Credits)*Inn01_credits</f>
        <v>0.01</v>
      </c>
      <c r="U90" s="303">
        <f>(T90/Inn01_credits)*Inn01_user</f>
        <v>0</v>
      </c>
      <c r="W90" s="528">
        <f>'Assessment Issue Scoring'!E157</f>
        <v>0</v>
      </c>
      <c r="X90" s="304"/>
      <c r="Y90" s="304"/>
      <c r="AA90" s="476"/>
      <c r="AB90" s="477"/>
      <c r="AC90" s="477"/>
      <c r="AD90" s="477"/>
      <c r="AE90" s="478"/>
      <c r="AF90" s="267"/>
      <c r="AG90" s="476"/>
      <c r="AH90" s="477"/>
      <c r="AI90" s="477"/>
      <c r="AJ90" s="477"/>
      <c r="AK90" s="478"/>
      <c r="AM90" s="359"/>
      <c r="AN90" s="360"/>
      <c r="AO90" s="360"/>
      <c r="AP90" s="360"/>
      <c r="AQ90" s="361">
        <f t="shared" si="51"/>
        <v>0</v>
      </c>
      <c r="AR90" s="307">
        <f t="shared" si="55"/>
        <v>9</v>
      </c>
      <c r="AS90" s="310" t="str">
        <f t="shared" ref="AS90:AS98" si="62">VLOOKUP(AR90,$BB$8:$BC$14,2,FALSE)</f>
        <v>N/A</v>
      </c>
      <c r="AT90" s="311"/>
      <c r="AU90" s="307">
        <f t="shared" ref="AU90:AU98" si="63">IF(AQ90=0,9,IF(X90&gt;=AQ90,5,IF(X90&gt;=AP90,4,IF(X90&gt;=AO90,3,IF(X90&gt;=AN90,2,IF(X90&lt;AM90,0,1))))))</f>
        <v>9</v>
      </c>
      <c r="AV90" s="310" t="str">
        <f t="shared" ref="AV90:AV98" si="64">VLOOKUP(AU90,$BB$8:$BC$14,2,FALSE)</f>
        <v>N/A</v>
      </c>
      <c r="AW90" s="311"/>
      <c r="AX90" s="307">
        <f t="shared" ref="AX90:AX98" si="65">IF(AQ90=0,9,IF(X90&gt;=AQ90,5,IF(X90&gt;=AP90,4,IF(X90&gt;=AO90,3,IF(X90&gt;=AN90,2,IF(X90&lt;AM90,0,1))))))</f>
        <v>9</v>
      </c>
      <c r="AY90" s="310" t="str">
        <f t="shared" ref="AY90:AY98" si="66">VLOOKUP(AX90,$BB$8:$BC$14,2,FALSE)</f>
        <v>N/A</v>
      </c>
      <c r="AZ90" s="311"/>
    </row>
    <row r="91" spans="1:52" x14ac:dyDescent="0.25">
      <c r="A91" s="529">
        <v>84</v>
      </c>
      <c r="B91" s="529"/>
      <c r="C91" s="363" t="s">
        <v>208</v>
      </c>
      <c r="D91" s="374" t="str">
        <f t="shared" si="60"/>
        <v>Inn 02 - Hea 02 Indoor air quality</v>
      </c>
      <c r="E91" s="312">
        <v>1</v>
      </c>
      <c r="F91" s="312">
        <v>1</v>
      </c>
      <c r="G91" s="312">
        <v>1</v>
      </c>
      <c r="H91" s="312">
        <v>1</v>
      </c>
      <c r="I91" s="313">
        <v>1</v>
      </c>
      <c r="K91" s="362">
        <f t="shared" si="61"/>
        <v>1</v>
      </c>
      <c r="L91" s="298"/>
      <c r="M91" s="299"/>
      <c r="N91" s="299"/>
      <c r="O91" s="299">
        <f>'Manuell filtrering og justering'!D89</f>
        <v>0</v>
      </c>
      <c r="P91" s="300">
        <f>VLOOKUP(C91,'Manuell filtrering og justering'!$A$7:$G$97,'Manuell filtrering og justering'!$G$1,FALSE)</f>
        <v>1</v>
      </c>
      <c r="Q91" s="301">
        <f t="shared" ref="Q91:Q98" si="67">IF(SUM(L91:O91)&gt;K91,K91,SUM(L91:O91))</f>
        <v>0</v>
      </c>
      <c r="R91" s="302">
        <f>IF($S$4='Manuell filtrering og justering'!$I$2,P91,(K91-Q91))</f>
        <v>1</v>
      </c>
      <c r="T91" s="303">
        <f>(Inn_Weight/Inn_Credits)*Inn02_credits</f>
        <v>0.01</v>
      </c>
      <c r="U91" s="303">
        <f>(T91/Inn02_credits)*Inn02_user</f>
        <v>0</v>
      </c>
      <c r="W91" s="528">
        <f>'Assessment Issue Scoring'!E215</f>
        <v>0</v>
      </c>
      <c r="X91" s="304"/>
      <c r="Y91" s="304"/>
      <c r="AA91" s="470"/>
      <c r="AB91" s="471"/>
      <c r="AC91" s="471"/>
      <c r="AD91" s="471"/>
      <c r="AE91" s="472"/>
      <c r="AF91" s="267"/>
      <c r="AG91" s="470"/>
      <c r="AH91" s="471"/>
      <c r="AI91" s="471"/>
      <c r="AJ91" s="471"/>
      <c r="AK91" s="472"/>
      <c r="AM91" s="322"/>
      <c r="AN91" s="323"/>
      <c r="AO91" s="323"/>
      <c r="AP91" s="323"/>
      <c r="AQ91" s="324">
        <f t="shared" si="51"/>
        <v>0</v>
      </c>
      <c r="AR91" s="316">
        <f t="shared" si="55"/>
        <v>9</v>
      </c>
      <c r="AS91" s="299" t="str">
        <f t="shared" si="62"/>
        <v>N/A</v>
      </c>
      <c r="AT91" s="319"/>
      <c r="AU91" s="316">
        <f t="shared" si="63"/>
        <v>9</v>
      </c>
      <c r="AV91" s="299" t="str">
        <f t="shared" si="64"/>
        <v>N/A</v>
      </c>
      <c r="AW91" s="319"/>
      <c r="AX91" s="316">
        <f t="shared" si="65"/>
        <v>9</v>
      </c>
      <c r="AY91" s="299" t="str">
        <f t="shared" si="66"/>
        <v>N/A</v>
      </c>
      <c r="AZ91" s="319"/>
    </row>
    <row r="92" spans="1:52" x14ac:dyDescent="0.25">
      <c r="A92" s="529">
        <v>85</v>
      </c>
      <c r="B92" s="529"/>
      <c r="C92" s="363" t="s">
        <v>209</v>
      </c>
      <c r="D92" s="374" t="str">
        <f t="shared" si="60"/>
        <v>Inn 03 - Tra 03 Alternative modes of transport</v>
      </c>
      <c r="E92" s="312">
        <v>1</v>
      </c>
      <c r="F92" s="312">
        <v>1</v>
      </c>
      <c r="G92" s="312">
        <v>1</v>
      </c>
      <c r="H92" s="312">
        <v>1</v>
      </c>
      <c r="I92" s="313">
        <v>1</v>
      </c>
      <c r="K92" s="362">
        <f t="shared" si="61"/>
        <v>1</v>
      </c>
      <c r="L92" s="298"/>
      <c r="M92" s="299"/>
      <c r="N92" s="299"/>
      <c r="O92" s="299">
        <f>'Manuell filtrering og justering'!D90</f>
        <v>0</v>
      </c>
      <c r="P92" s="300">
        <f>VLOOKUP(C92,'Manuell filtrering og justering'!$A$7:$G$97,'Manuell filtrering og justering'!$G$1,FALSE)</f>
        <v>1</v>
      </c>
      <c r="Q92" s="301">
        <f t="shared" si="67"/>
        <v>0</v>
      </c>
      <c r="R92" s="302">
        <f>IF($S$4='Manuell filtrering og justering'!$I$2,P92,(K92-Q92))</f>
        <v>1</v>
      </c>
      <c r="T92" s="303">
        <f>(Inn_Weight/Inn_Credits)*Inn03_credits</f>
        <v>0.01</v>
      </c>
      <c r="U92" s="303">
        <f>(T92/Inn03_credits)*Inn03_user</f>
        <v>0</v>
      </c>
      <c r="W92" s="528">
        <f>'Assessment Issue Scoring'!E690</f>
        <v>0</v>
      </c>
      <c r="X92" s="304"/>
      <c r="Y92" s="304"/>
      <c r="AA92" s="470"/>
      <c r="AB92" s="471"/>
      <c r="AC92" s="471"/>
      <c r="AD92" s="471"/>
      <c r="AE92" s="472"/>
      <c r="AF92" s="267"/>
      <c r="AG92" s="470"/>
      <c r="AH92" s="471"/>
      <c r="AI92" s="471"/>
      <c r="AJ92" s="471"/>
      <c r="AK92" s="472"/>
      <c r="AM92" s="322"/>
      <c r="AN92" s="323"/>
      <c r="AO92" s="323"/>
      <c r="AP92" s="323"/>
      <c r="AQ92" s="324">
        <f t="shared" si="51"/>
        <v>0</v>
      </c>
      <c r="AR92" s="316">
        <f t="shared" si="55"/>
        <v>9</v>
      </c>
      <c r="AS92" s="299" t="str">
        <f t="shared" si="62"/>
        <v>N/A</v>
      </c>
      <c r="AT92" s="319"/>
      <c r="AU92" s="316">
        <f t="shared" si="63"/>
        <v>9</v>
      </c>
      <c r="AV92" s="299" t="str">
        <f t="shared" si="64"/>
        <v>N/A</v>
      </c>
      <c r="AW92" s="319"/>
      <c r="AX92" s="316">
        <f t="shared" si="65"/>
        <v>9</v>
      </c>
      <c r="AY92" s="299" t="str">
        <f t="shared" si="66"/>
        <v>N/A</v>
      </c>
      <c r="AZ92" s="319"/>
    </row>
    <row r="93" spans="1:52" x14ac:dyDescent="0.25">
      <c r="A93" s="529">
        <v>86</v>
      </c>
      <c r="B93" s="529"/>
      <c r="C93" s="363" t="s">
        <v>210</v>
      </c>
      <c r="D93" s="374" t="str">
        <f t="shared" si="60"/>
        <v>Inn 04 - Wat 01 Water consumption</v>
      </c>
      <c r="E93" s="312">
        <v>1</v>
      </c>
      <c r="F93" s="312">
        <v>1</v>
      </c>
      <c r="G93" s="312">
        <v>1</v>
      </c>
      <c r="H93" s="312">
        <v>1</v>
      </c>
      <c r="I93" s="313">
        <v>1</v>
      </c>
      <c r="K93" s="362">
        <f t="shared" si="61"/>
        <v>1</v>
      </c>
      <c r="L93" s="298"/>
      <c r="M93" s="299"/>
      <c r="N93" s="299"/>
      <c r="O93" s="299">
        <f>'Manuell filtrering og justering'!D91</f>
        <v>0</v>
      </c>
      <c r="P93" s="300">
        <f>VLOOKUP(C93,'Manuell filtrering og justering'!$A$7:$G$97,'Manuell filtrering og justering'!$G$1,FALSE)</f>
        <v>1</v>
      </c>
      <c r="Q93" s="301">
        <f t="shared" si="67"/>
        <v>0</v>
      </c>
      <c r="R93" s="302">
        <f>IF($S$4='Manuell filtrering og justering'!$I$2,P93,(K93-Q93))</f>
        <v>1</v>
      </c>
      <c r="T93" s="303">
        <f>(Inn_Weight/Inn_Credits)*Inn04_credits</f>
        <v>0.01</v>
      </c>
      <c r="U93" s="303">
        <f>(T93/Inn04_credits)*Inn04_user</f>
        <v>0</v>
      </c>
      <c r="W93" s="528">
        <f>'Assessment Issue Scoring'!E789</f>
        <v>0</v>
      </c>
      <c r="X93" s="304"/>
      <c r="Y93" s="304"/>
      <c r="AA93" s="470"/>
      <c r="AB93" s="471"/>
      <c r="AC93" s="471"/>
      <c r="AD93" s="471"/>
      <c r="AE93" s="472"/>
      <c r="AF93" s="267"/>
      <c r="AG93" s="470"/>
      <c r="AH93" s="471"/>
      <c r="AI93" s="471"/>
      <c r="AJ93" s="471"/>
      <c r="AK93" s="472"/>
      <c r="AM93" s="322"/>
      <c r="AN93" s="323"/>
      <c r="AO93" s="323"/>
      <c r="AP93" s="323"/>
      <c r="AQ93" s="324">
        <f t="shared" si="51"/>
        <v>0</v>
      </c>
      <c r="AR93" s="316">
        <f t="shared" si="55"/>
        <v>9</v>
      </c>
      <c r="AS93" s="299" t="str">
        <f t="shared" si="62"/>
        <v>N/A</v>
      </c>
      <c r="AT93" s="319"/>
      <c r="AU93" s="316">
        <f t="shared" si="63"/>
        <v>9</v>
      </c>
      <c r="AV93" s="299" t="str">
        <f t="shared" si="64"/>
        <v>N/A</v>
      </c>
      <c r="AW93" s="319"/>
      <c r="AX93" s="316">
        <f t="shared" si="65"/>
        <v>9</v>
      </c>
      <c r="AY93" s="299" t="str">
        <f t="shared" si="66"/>
        <v>N/A</v>
      </c>
      <c r="AZ93" s="319"/>
    </row>
    <row r="94" spans="1:52" x14ac:dyDescent="0.25">
      <c r="A94" s="529">
        <v>87</v>
      </c>
      <c r="B94" s="529"/>
      <c r="C94" s="363" t="s">
        <v>211</v>
      </c>
      <c r="D94" s="374" t="str">
        <f t="shared" si="60"/>
        <v>Inn 05 - Mat 01 Life cycle impacts</v>
      </c>
      <c r="E94" s="312">
        <v>2</v>
      </c>
      <c r="F94" s="312">
        <v>2</v>
      </c>
      <c r="G94" s="312">
        <v>2</v>
      </c>
      <c r="H94" s="312">
        <v>2</v>
      </c>
      <c r="I94" s="313">
        <v>2</v>
      </c>
      <c r="K94" s="362">
        <f t="shared" si="61"/>
        <v>2</v>
      </c>
      <c r="L94" s="298"/>
      <c r="M94" s="299"/>
      <c r="N94" s="299"/>
      <c r="O94" s="299">
        <f>'Manuell filtrering og justering'!D92</f>
        <v>0</v>
      </c>
      <c r="P94" s="300">
        <f>VLOOKUP(C94,'Manuell filtrering og justering'!$A$7:$G$97,'Manuell filtrering og justering'!$G$1,FALSE)</f>
        <v>1</v>
      </c>
      <c r="Q94" s="301">
        <f t="shared" si="67"/>
        <v>0</v>
      </c>
      <c r="R94" s="302">
        <f>IF($S$4='Manuell filtrering og justering'!$I$2,P94,(K94-Q94))</f>
        <v>2</v>
      </c>
      <c r="T94" s="303">
        <f>(Inn_Weight/Inn_Credits)*Inn05_credits</f>
        <v>0.02</v>
      </c>
      <c r="U94" s="303">
        <f>(T94/Inn05_credits)*Inn05_user</f>
        <v>0</v>
      </c>
      <c r="W94" s="528">
        <f>'Assessment Issue Scoring'!E898</f>
        <v>0</v>
      </c>
      <c r="X94" s="304"/>
      <c r="Y94" s="304"/>
      <c r="AA94" s="470"/>
      <c r="AB94" s="471"/>
      <c r="AC94" s="471"/>
      <c r="AD94" s="471"/>
      <c r="AE94" s="472"/>
      <c r="AF94" s="267"/>
      <c r="AG94" s="470"/>
      <c r="AH94" s="471"/>
      <c r="AI94" s="471"/>
      <c r="AJ94" s="471"/>
      <c r="AK94" s="472"/>
      <c r="AM94" s="322"/>
      <c r="AN94" s="323"/>
      <c r="AO94" s="323"/>
      <c r="AP94" s="323"/>
      <c r="AQ94" s="324">
        <f t="shared" si="51"/>
        <v>0</v>
      </c>
      <c r="AR94" s="316">
        <f t="shared" si="55"/>
        <v>9</v>
      </c>
      <c r="AS94" s="299" t="str">
        <f t="shared" si="62"/>
        <v>N/A</v>
      </c>
      <c r="AT94" s="319"/>
      <c r="AU94" s="316">
        <f t="shared" si="63"/>
        <v>9</v>
      </c>
      <c r="AV94" s="299" t="str">
        <f t="shared" si="64"/>
        <v>N/A</v>
      </c>
      <c r="AW94" s="319"/>
      <c r="AX94" s="316">
        <f t="shared" si="65"/>
        <v>9</v>
      </c>
      <c r="AY94" s="299" t="str">
        <f t="shared" si="66"/>
        <v>N/A</v>
      </c>
      <c r="AZ94" s="319"/>
    </row>
    <row r="95" spans="1:52" x14ac:dyDescent="0.25">
      <c r="A95" s="529">
        <v>88</v>
      </c>
      <c r="B95" s="529"/>
      <c r="C95" s="363" t="s">
        <v>212</v>
      </c>
      <c r="D95" s="374" t="str">
        <f t="shared" si="60"/>
        <v>Inn 06 - Mat 03 Responsible sourcing of materials</v>
      </c>
      <c r="E95" s="312">
        <v>1</v>
      </c>
      <c r="F95" s="312">
        <v>1</v>
      </c>
      <c r="G95" s="312">
        <v>1</v>
      </c>
      <c r="H95" s="312">
        <v>1</v>
      </c>
      <c r="I95" s="313">
        <v>1</v>
      </c>
      <c r="K95" s="362">
        <f t="shared" si="61"/>
        <v>1</v>
      </c>
      <c r="L95" s="298"/>
      <c r="M95" s="299"/>
      <c r="N95" s="299"/>
      <c r="O95" s="299">
        <f>'Manuell filtrering og justering'!D93</f>
        <v>0</v>
      </c>
      <c r="P95" s="300">
        <f>VLOOKUP(C95,'Manuell filtrering og justering'!$A$7:$G$97,'Manuell filtrering og justering'!$G$1,FALSE)</f>
        <v>1</v>
      </c>
      <c r="Q95" s="301">
        <f t="shared" si="67"/>
        <v>0</v>
      </c>
      <c r="R95" s="302">
        <f>IF($S$4='Manuell filtrering og justering'!$I$2,P95,(K95-Q95))</f>
        <v>1</v>
      </c>
      <c r="T95" s="303">
        <f>(Inn_Weight/Inn_Credits)*Inn06_credits</f>
        <v>0.01</v>
      </c>
      <c r="U95" s="303">
        <f>(T95/Inn06_credits)*Inn06_user</f>
        <v>0</v>
      </c>
      <c r="W95" s="528">
        <f>'Assessment Issue Scoring'!E929</f>
        <v>0</v>
      </c>
      <c r="X95" s="304"/>
      <c r="Y95" s="304"/>
      <c r="AA95" s="470"/>
      <c r="AB95" s="471"/>
      <c r="AC95" s="471"/>
      <c r="AD95" s="471"/>
      <c r="AE95" s="472"/>
      <c r="AF95" s="267"/>
      <c r="AG95" s="470"/>
      <c r="AH95" s="471"/>
      <c r="AI95" s="471"/>
      <c r="AJ95" s="471"/>
      <c r="AK95" s="472"/>
      <c r="AM95" s="322"/>
      <c r="AN95" s="323"/>
      <c r="AO95" s="323"/>
      <c r="AP95" s="323"/>
      <c r="AQ95" s="324">
        <f t="shared" si="51"/>
        <v>0</v>
      </c>
      <c r="AR95" s="316">
        <f t="shared" si="55"/>
        <v>9</v>
      </c>
      <c r="AS95" s="299" t="str">
        <f t="shared" si="62"/>
        <v>N/A</v>
      </c>
      <c r="AT95" s="319"/>
      <c r="AU95" s="316">
        <f t="shared" si="63"/>
        <v>9</v>
      </c>
      <c r="AV95" s="299" t="str">
        <f t="shared" si="64"/>
        <v>N/A</v>
      </c>
      <c r="AW95" s="319"/>
      <c r="AX95" s="316">
        <f t="shared" si="65"/>
        <v>9</v>
      </c>
      <c r="AY95" s="299" t="str">
        <f t="shared" si="66"/>
        <v>N/A</v>
      </c>
      <c r="AZ95" s="319"/>
    </row>
    <row r="96" spans="1:52" x14ac:dyDescent="0.25">
      <c r="A96" s="529">
        <v>89</v>
      </c>
      <c r="B96" s="529"/>
      <c r="C96" s="363" t="s">
        <v>213</v>
      </c>
      <c r="D96" s="374" t="str">
        <f t="shared" si="60"/>
        <v>Inn 07 - Wst 01 Construction site waste man.</v>
      </c>
      <c r="E96" s="312">
        <v>1</v>
      </c>
      <c r="F96" s="312">
        <v>1</v>
      </c>
      <c r="G96" s="312">
        <v>1</v>
      </c>
      <c r="H96" s="312">
        <v>1</v>
      </c>
      <c r="I96" s="313">
        <v>1</v>
      </c>
      <c r="K96" s="362">
        <f t="shared" si="61"/>
        <v>1</v>
      </c>
      <c r="L96" s="298"/>
      <c r="M96" s="299"/>
      <c r="N96" s="299"/>
      <c r="O96" s="299">
        <f>'Manuell filtrering og justering'!D94</f>
        <v>0</v>
      </c>
      <c r="P96" s="300">
        <f>VLOOKUP(C96,'Manuell filtrering og justering'!$A$7:$G$97,'Manuell filtrering og justering'!$G$1,FALSE)</f>
        <v>1</v>
      </c>
      <c r="Q96" s="301">
        <f t="shared" si="67"/>
        <v>0</v>
      </c>
      <c r="R96" s="302">
        <f>IF($S$4='Manuell filtrering og justering'!$I$2,P96,(K96-Q96))</f>
        <v>1</v>
      </c>
      <c r="T96" s="303">
        <f>(Inn_Weight/Inn_Credits)*Inn07_credits</f>
        <v>0.01</v>
      </c>
      <c r="U96" s="303">
        <f>(T96/Inn07_credits)*Inn07_user</f>
        <v>0</v>
      </c>
      <c r="W96" s="528">
        <f>'Assessment Issue Scoring'!E983</f>
        <v>0</v>
      </c>
      <c r="X96" s="304"/>
      <c r="Y96" s="304"/>
      <c r="AA96" s="470"/>
      <c r="AB96" s="471"/>
      <c r="AC96" s="471"/>
      <c r="AD96" s="471"/>
      <c r="AE96" s="472"/>
      <c r="AF96" s="267"/>
      <c r="AG96" s="470"/>
      <c r="AH96" s="471"/>
      <c r="AI96" s="471"/>
      <c r="AJ96" s="471"/>
      <c r="AK96" s="472"/>
      <c r="AM96" s="322"/>
      <c r="AN96" s="323"/>
      <c r="AO96" s="323"/>
      <c r="AP96" s="323"/>
      <c r="AQ96" s="324">
        <f t="shared" si="51"/>
        <v>0</v>
      </c>
      <c r="AR96" s="316">
        <f t="shared" si="55"/>
        <v>9</v>
      </c>
      <c r="AS96" s="299" t="str">
        <f t="shared" si="62"/>
        <v>N/A</v>
      </c>
      <c r="AT96" s="319"/>
      <c r="AU96" s="316">
        <f t="shared" si="63"/>
        <v>9</v>
      </c>
      <c r="AV96" s="299" t="str">
        <f t="shared" si="64"/>
        <v>N/A</v>
      </c>
      <c r="AW96" s="319"/>
      <c r="AX96" s="316">
        <f t="shared" si="65"/>
        <v>9</v>
      </c>
      <c r="AY96" s="299" t="str">
        <f t="shared" si="66"/>
        <v>N/A</v>
      </c>
      <c r="AZ96" s="319"/>
    </row>
    <row r="97" spans="1:58" x14ac:dyDescent="0.25">
      <c r="A97" s="529">
        <v>90</v>
      </c>
      <c r="B97" s="529"/>
      <c r="C97" s="363" t="s">
        <v>243</v>
      </c>
      <c r="D97" s="374" t="str">
        <f t="shared" si="60"/>
        <v>Inn 08 - Wst 02 Recycled aggregatess</v>
      </c>
      <c r="E97" s="312">
        <v>1</v>
      </c>
      <c r="F97" s="312">
        <v>1</v>
      </c>
      <c r="G97" s="312">
        <v>1</v>
      </c>
      <c r="H97" s="312">
        <v>1</v>
      </c>
      <c r="I97" s="313">
        <v>1</v>
      </c>
      <c r="K97" s="362">
        <f t="shared" si="61"/>
        <v>1</v>
      </c>
      <c r="L97" s="298"/>
      <c r="M97" s="299"/>
      <c r="N97" s="299"/>
      <c r="O97" s="299">
        <f>'Manuell filtrering og justering'!D95</f>
        <v>0</v>
      </c>
      <c r="P97" s="300">
        <f>VLOOKUP(C97,'Manuell filtrering og justering'!$A$7:$G$97,'Manuell filtrering og justering'!$G$1,FALSE)</f>
        <v>1</v>
      </c>
      <c r="Q97" s="301">
        <f t="shared" si="67"/>
        <v>0</v>
      </c>
      <c r="R97" s="302">
        <f>IF($S$4='Manuell filtrering og justering'!$I$2,P97,(K97-Q97))</f>
        <v>1</v>
      </c>
      <c r="T97" s="303">
        <f>(Inn_Weight/Inn_Credits)*Inn08_credits</f>
        <v>0.01</v>
      </c>
      <c r="U97" s="303">
        <f>(T97/Inn08_credits)*Inn08_user</f>
        <v>0</v>
      </c>
      <c r="W97" s="528">
        <f>'Assessment Issue Scoring'!E1003</f>
        <v>0</v>
      </c>
      <c r="X97" s="304"/>
      <c r="Y97" s="304"/>
      <c r="AA97" s="470"/>
      <c r="AB97" s="471"/>
      <c r="AC97" s="471"/>
      <c r="AD97" s="471"/>
      <c r="AE97" s="472"/>
      <c r="AF97" s="267"/>
      <c r="AG97" s="470"/>
      <c r="AH97" s="471"/>
      <c r="AI97" s="471"/>
      <c r="AJ97" s="471"/>
      <c r="AK97" s="472"/>
      <c r="AM97" s="322"/>
      <c r="AN97" s="323"/>
      <c r="AO97" s="323"/>
      <c r="AP97" s="323"/>
      <c r="AQ97" s="324">
        <f>IF($D$5=$G$8,AK97,AE97)</f>
        <v>0</v>
      </c>
      <c r="AR97" s="316">
        <f t="shared" si="55"/>
        <v>9</v>
      </c>
      <c r="AS97" s="299" t="str">
        <f t="shared" si="62"/>
        <v>N/A</v>
      </c>
      <c r="AT97" s="319"/>
      <c r="AU97" s="316">
        <f t="shared" si="63"/>
        <v>9</v>
      </c>
      <c r="AV97" s="299" t="str">
        <f t="shared" si="64"/>
        <v>N/A</v>
      </c>
      <c r="AW97" s="319"/>
      <c r="AX97" s="316">
        <f t="shared" si="65"/>
        <v>9</v>
      </c>
      <c r="AY97" s="299" t="str">
        <f t="shared" si="66"/>
        <v>N/A</v>
      </c>
      <c r="AZ97" s="319"/>
    </row>
    <row r="98" spans="1:58" ht="15.75" thickBot="1" x14ac:dyDescent="0.3">
      <c r="A98" s="529">
        <v>91</v>
      </c>
      <c r="B98" s="529"/>
      <c r="C98" s="604" t="s">
        <v>273</v>
      </c>
      <c r="D98" s="374" t="str">
        <f t="shared" si="60"/>
        <v>Inn 09 - Approved innovation credits</v>
      </c>
      <c r="E98" s="375">
        <v>10</v>
      </c>
      <c r="F98" s="375">
        <v>10</v>
      </c>
      <c r="G98" s="375">
        <v>10</v>
      </c>
      <c r="H98" s="375">
        <v>10</v>
      </c>
      <c r="I98" s="376">
        <v>10</v>
      </c>
      <c r="K98" s="377">
        <f t="shared" si="61"/>
        <v>10</v>
      </c>
      <c r="L98" s="326"/>
      <c r="M98" s="327"/>
      <c r="N98" s="327"/>
      <c r="O98" s="299">
        <f>'Manuell filtrering og justering'!D96</f>
        <v>0</v>
      </c>
      <c r="P98" s="300">
        <f>VLOOKUP(C98,'Manuell filtrering og justering'!$A$7:$G$97,'Manuell filtrering og justering'!$G$1,FALSE)</f>
        <v>10</v>
      </c>
      <c r="Q98" s="301">
        <f t="shared" si="67"/>
        <v>0</v>
      </c>
      <c r="R98" s="302">
        <f>IF($S$4='Manuell filtrering og justering'!$I$2,P98,(K98-Q98))</f>
        <v>10</v>
      </c>
      <c r="T98" s="303">
        <f>(Inn_Weight/Inn_Credits)*Inn09_credits</f>
        <v>0.1</v>
      </c>
      <c r="U98" s="303">
        <f>(T98/Inn09_credits)*Inn09_user</f>
        <v>0</v>
      </c>
      <c r="W98" s="598">
        <f>'Assessment Issue Scoring'!G1322</f>
        <v>0</v>
      </c>
      <c r="X98" s="304"/>
      <c r="Y98" s="304"/>
      <c r="AA98" s="473"/>
      <c r="AB98" s="474"/>
      <c r="AC98" s="474"/>
      <c r="AD98" s="474"/>
      <c r="AE98" s="475"/>
      <c r="AF98" s="267"/>
      <c r="AG98" s="473"/>
      <c r="AH98" s="474"/>
      <c r="AI98" s="474"/>
      <c r="AJ98" s="474"/>
      <c r="AK98" s="475"/>
      <c r="AM98" s="333"/>
      <c r="AN98" s="335"/>
      <c r="AO98" s="335"/>
      <c r="AP98" s="335"/>
      <c r="AQ98" s="336">
        <f>IF($D$5=$G$8,AK98,AE98)</f>
        <v>0</v>
      </c>
      <c r="AR98" s="337">
        <f t="shared" si="55"/>
        <v>9</v>
      </c>
      <c r="AS98" s="338" t="str">
        <f t="shared" si="62"/>
        <v>N/A</v>
      </c>
      <c r="AT98" s="339"/>
      <c r="AU98" s="337">
        <f t="shared" si="63"/>
        <v>9</v>
      </c>
      <c r="AV98" s="338" t="str">
        <f t="shared" si="64"/>
        <v>N/A</v>
      </c>
      <c r="AW98" s="339"/>
      <c r="AX98" s="337">
        <f t="shared" si="65"/>
        <v>9</v>
      </c>
      <c r="AY98" s="338" t="str">
        <f t="shared" si="66"/>
        <v>N/A</v>
      </c>
      <c r="AZ98" s="339"/>
    </row>
    <row r="99" spans="1:58" ht="15.75" thickBot="1" x14ac:dyDescent="0.3">
      <c r="A99" s="529">
        <v>92</v>
      </c>
      <c r="C99" s="340" t="s">
        <v>231</v>
      </c>
      <c r="D99" s="341"/>
      <c r="E99" s="341">
        <f>IF(SUM(E90:E98)&gt;10,10,SUM(E90:E98))</f>
        <v>10</v>
      </c>
      <c r="F99" s="341">
        <f t="shared" ref="F99:H99" si="68">IF(SUM(F90:F98)&gt;10,10,SUM(F90:F98))</f>
        <v>10</v>
      </c>
      <c r="G99" s="341">
        <f t="shared" si="68"/>
        <v>10</v>
      </c>
      <c r="H99" s="341">
        <f t="shared" si="68"/>
        <v>10</v>
      </c>
      <c r="I99" s="342">
        <f>IF(SUM(I90:I98)&gt;10,10,SUM(I90:I98))</f>
        <v>10</v>
      </c>
      <c r="K99" s="368">
        <f t="shared" si="61"/>
        <v>10</v>
      </c>
      <c r="L99" s="344"/>
      <c r="M99" s="345"/>
      <c r="N99" s="345"/>
      <c r="O99" s="345"/>
      <c r="P99" s="346"/>
      <c r="Q99" s="347">
        <f>SUM(Q90:Q98)</f>
        <v>0</v>
      </c>
      <c r="R99" s="369">
        <f>IF(SUM(R90:R98)&gt;10,10,SUM(R90:R98))</f>
        <v>10</v>
      </c>
      <c r="T99" s="378">
        <f>IF(SUM(T90:T98)&gt;0.1,0.1,(SUM(T90:T98)))</f>
        <v>0.1</v>
      </c>
      <c r="U99" s="378">
        <f>IF(SUM(U90:U98)&gt;0.1,0.1,(SUM(U90:U98)))</f>
        <v>0</v>
      </c>
      <c r="W99" s="75">
        <f>IF(SUM(W90:W98)&gt;10,10,SUM(W90:W98))</f>
        <v>0</v>
      </c>
      <c r="X99" s="75">
        <f t="shared" ref="X99" si="69">IF(SUM(X90:X98)&gt;10,10,SUM(X90:X98))</f>
        <v>0</v>
      </c>
      <c r="Y99" s="75">
        <f>IF(SUM(Y90:Y98)&gt;10,10,SUM(Y90:Y98))</f>
        <v>0</v>
      </c>
      <c r="AM99" s="178"/>
      <c r="AN99" s="178"/>
      <c r="AO99" s="178"/>
      <c r="AP99" s="178"/>
      <c r="AQ99" s="379"/>
      <c r="AR99" s="380"/>
    </row>
    <row r="100" spans="1:58" ht="15.75" thickBot="1" x14ac:dyDescent="0.3">
      <c r="A100" s="529">
        <v>93</v>
      </c>
      <c r="AM100" s="178"/>
      <c r="AN100" s="178"/>
      <c r="AO100" s="178"/>
      <c r="AP100" s="178"/>
      <c r="AQ100" s="379"/>
      <c r="AR100" s="380"/>
    </row>
    <row r="101" spans="1:58" ht="15.75" thickBot="1" x14ac:dyDescent="0.3">
      <c r="A101" s="529">
        <v>94</v>
      </c>
      <c r="C101" s="283"/>
      <c r="D101" s="284" t="s">
        <v>252</v>
      </c>
      <c r="E101" s="492" t="str">
        <f>$E$8</f>
        <v>Office</v>
      </c>
      <c r="F101" s="492" t="str">
        <f>$F$8</f>
        <v>Retail</v>
      </c>
      <c r="G101" s="492" t="str">
        <f>$G$8</f>
        <v>Residential</v>
      </c>
      <c r="H101" s="492" t="str">
        <f>$H$8</f>
        <v>Industrial</v>
      </c>
      <c r="I101" s="493" t="str">
        <f>$I$8</f>
        <v>Education</v>
      </c>
      <c r="K101" s="266" t="str">
        <f>$D$5</f>
        <v>Office</v>
      </c>
      <c r="L101" s="381"/>
      <c r="M101" s="382"/>
      <c r="N101" s="352"/>
      <c r="O101" s="352"/>
      <c r="P101" s="756" t="s">
        <v>1167</v>
      </c>
      <c r="Q101" s="281" t="s">
        <v>231</v>
      </c>
      <c r="R101" s="266"/>
      <c r="W101" s="71"/>
      <c r="X101" s="93"/>
      <c r="Y101" s="93"/>
      <c r="AM101" s="178"/>
      <c r="AN101" s="178"/>
      <c r="AO101" s="178"/>
      <c r="AP101" s="178"/>
      <c r="AQ101" s="379"/>
      <c r="AR101" s="380"/>
    </row>
    <row r="102" spans="1:58" x14ac:dyDescent="0.25">
      <c r="A102" s="529">
        <v>95</v>
      </c>
      <c r="B102" s="529"/>
      <c r="C102" s="229" t="s">
        <v>48</v>
      </c>
      <c r="D102" s="601" t="s">
        <v>282</v>
      </c>
      <c r="E102" s="357" t="s">
        <v>253</v>
      </c>
      <c r="F102" s="357" t="s">
        <v>253</v>
      </c>
      <c r="G102" s="357" t="s">
        <v>253</v>
      </c>
      <c r="H102" s="357" t="s">
        <v>253</v>
      </c>
      <c r="I102" s="358" t="s">
        <v>253</v>
      </c>
      <c r="K102" s="353" t="str">
        <f>HLOOKUP($D$5,$E$8:$I$103,$A102,FALSE)</f>
        <v>Yes/No</v>
      </c>
      <c r="L102" s="301"/>
      <c r="M102" s="383"/>
      <c r="N102" s="299"/>
      <c r="O102" s="299"/>
      <c r="P102" s="300"/>
      <c r="Q102" s="301"/>
      <c r="R102" s="354" t="str">
        <f>K102</f>
        <v>Yes/No</v>
      </c>
      <c r="T102" s="303"/>
      <c r="U102" s="384" t="s">
        <v>254</v>
      </c>
      <c r="W102" s="561" t="str">
        <f>'Assessment Issue Scoring'!E175</f>
        <v>Please select</v>
      </c>
      <c r="X102" s="304"/>
      <c r="Y102" s="304"/>
      <c r="AA102" s="356" t="s">
        <v>14</v>
      </c>
      <c r="AB102" s="357" t="s">
        <v>14</v>
      </c>
      <c r="AC102" s="357" t="s">
        <v>14</v>
      </c>
      <c r="AD102" s="357" t="s">
        <v>14</v>
      </c>
      <c r="AE102" s="358" t="s">
        <v>14</v>
      </c>
      <c r="AG102" s="356" t="s">
        <v>14</v>
      </c>
      <c r="AH102" s="357" t="s">
        <v>14</v>
      </c>
      <c r="AI102" s="357" t="s">
        <v>14</v>
      </c>
      <c r="AJ102" s="357" t="s">
        <v>14</v>
      </c>
      <c r="AK102" s="358" t="s">
        <v>14</v>
      </c>
      <c r="AM102" s="307" t="str">
        <f t="shared" ref="AM102:AP103" si="70">IF($D$5=$G$8,AG102,AA102)</f>
        <v>Yes</v>
      </c>
      <c r="AN102" s="308" t="str">
        <f t="shared" si="70"/>
        <v>Yes</v>
      </c>
      <c r="AO102" s="308" t="str">
        <f t="shared" si="70"/>
        <v>Yes</v>
      </c>
      <c r="AP102" s="308" t="str">
        <f t="shared" si="70"/>
        <v>Yes</v>
      </c>
      <c r="AQ102" s="371" t="str">
        <f>IF($D$5=$G$8,AK102,AE102)</f>
        <v>Yes</v>
      </c>
      <c r="AR102" s="307">
        <f>IF(W102="Yes",5,0)</f>
        <v>0</v>
      </c>
      <c r="AS102" s="310" t="str">
        <f>VLOOKUP(AR102,$BB$8:$BC$14,2,FALSE)</f>
        <v>Unclassified</v>
      </c>
      <c r="AT102" s="311"/>
      <c r="AU102" s="307">
        <f>IF(X102="Yes",5,0)</f>
        <v>0</v>
      </c>
      <c r="AV102" s="310" t="str">
        <f>VLOOKUP(AU102,$BB$8:$BC$14,2,FALSE)</f>
        <v>Unclassified</v>
      </c>
      <c r="AW102" s="311"/>
      <c r="AX102" s="307">
        <f>IF(Y102="Yes",5,0)</f>
        <v>0</v>
      </c>
      <c r="AY102" s="310" t="str">
        <f>VLOOKUP(AX102,$BB$8:$BC$14,2,FALSE)</f>
        <v>Unclassified</v>
      </c>
      <c r="AZ102" s="311"/>
    </row>
    <row r="103" spans="1:58" ht="15.75" thickBot="1" x14ac:dyDescent="0.3">
      <c r="A103" s="529">
        <v>96</v>
      </c>
      <c r="B103" s="529"/>
      <c r="C103" s="363" t="s">
        <v>4</v>
      </c>
      <c r="D103" s="374" t="s">
        <v>283</v>
      </c>
      <c r="E103" s="312" t="s">
        <v>253</v>
      </c>
      <c r="F103" s="312" t="s">
        <v>253</v>
      </c>
      <c r="G103" s="312" t="s">
        <v>253</v>
      </c>
      <c r="H103" s="312" t="s">
        <v>253</v>
      </c>
      <c r="I103" s="313" t="s">
        <v>253</v>
      </c>
      <c r="K103" s="362" t="str">
        <f>HLOOKUP($D$5,$E$8:$I$103,$A103,FALSE)</f>
        <v>Yes/No</v>
      </c>
      <c r="L103" s="385"/>
      <c r="M103" s="383"/>
      <c r="N103" s="299"/>
      <c r="O103" s="299"/>
      <c r="P103" s="300"/>
      <c r="Q103" s="301"/>
      <c r="R103" s="354" t="str">
        <f>K103</f>
        <v>Yes/No</v>
      </c>
      <c r="T103" s="303"/>
      <c r="U103" s="384" t="s">
        <v>254</v>
      </c>
      <c r="W103" s="561" t="str">
        <f>'Assessment Issue Scoring'!E871</f>
        <v>Yes</v>
      </c>
      <c r="X103" s="304"/>
      <c r="Y103" s="304"/>
      <c r="AA103" s="497" t="s">
        <v>14</v>
      </c>
      <c r="AB103" s="312" t="s">
        <v>14</v>
      </c>
      <c r="AC103" s="312" t="s">
        <v>14</v>
      </c>
      <c r="AD103" s="312" t="s">
        <v>14</v>
      </c>
      <c r="AE103" s="313" t="s">
        <v>14</v>
      </c>
      <c r="AG103" s="497" t="s">
        <v>14</v>
      </c>
      <c r="AH103" s="312" t="s">
        <v>14</v>
      </c>
      <c r="AI103" s="312" t="s">
        <v>14</v>
      </c>
      <c r="AJ103" s="312" t="s">
        <v>14</v>
      </c>
      <c r="AK103" s="313" t="s">
        <v>14</v>
      </c>
      <c r="AM103" s="316" t="str">
        <f t="shared" si="70"/>
        <v>Yes</v>
      </c>
      <c r="AN103" s="317" t="str">
        <f t="shared" si="70"/>
        <v>Yes</v>
      </c>
      <c r="AO103" s="317" t="str">
        <f t="shared" si="70"/>
        <v>Yes</v>
      </c>
      <c r="AP103" s="317" t="str">
        <f t="shared" si="70"/>
        <v>Yes</v>
      </c>
      <c r="AQ103" s="321" t="str">
        <f>IF($D$5=$G$8,AK103,AE103)</f>
        <v>Yes</v>
      </c>
      <c r="AR103" s="316">
        <f>IF(W103="Yes",5,0)</f>
        <v>5</v>
      </c>
      <c r="AS103" s="299" t="str">
        <f>VLOOKUP(AR103,$BB$8:$BC$14,2,FALSE)</f>
        <v>Outstanding</v>
      </c>
      <c r="AT103" s="319"/>
      <c r="AU103" s="316">
        <f>IF(X103="Yes",5,0)</f>
        <v>0</v>
      </c>
      <c r="AV103" s="299" t="str">
        <f>VLOOKUP(AU103,$BB$8:$BC$14,2,FALSE)</f>
        <v>Unclassified</v>
      </c>
      <c r="AW103" s="319"/>
      <c r="AX103" s="316">
        <f>IF(Y103="Yes",5,0)</f>
        <v>0</v>
      </c>
      <c r="AY103" s="299" t="str">
        <f>VLOOKUP(AX103,$BB$8:$BC$14,2,FALSE)</f>
        <v>Unclassified</v>
      </c>
      <c r="AZ103" s="319"/>
    </row>
    <row r="104" spans="1:58" ht="15.75" thickBot="1" x14ac:dyDescent="0.3">
      <c r="A104" s="529">
        <v>97</v>
      </c>
      <c r="B104" s="529"/>
      <c r="C104" s="566" t="s">
        <v>345</v>
      </c>
      <c r="D104" s="567" t="s">
        <v>346</v>
      </c>
      <c r="E104" s="331" t="s">
        <v>253</v>
      </c>
      <c r="F104" s="331" t="s">
        <v>253</v>
      </c>
      <c r="G104" s="331" t="s">
        <v>253</v>
      </c>
      <c r="H104" s="331" t="s">
        <v>253</v>
      </c>
      <c r="I104" s="332" t="s">
        <v>253</v>
      </c>
      <c r="K104" s="362" t="str">
        <f>HLOOKUP($D$5,$E$8:$I$104,$A104,FALSE)</f>
        <v>Yes/No</v>
      </c>
      <c r="L104" s="385"/>
      <c r="M104" s="383"/>
      <c r="N104" s="299"/>
      <c r="O104" s="299"/>
      <c r="P104" s="300"/>
      <c r="Q104" s="301"/>
      <c r="R104" s="354" t="str">
        <f>K104</f>
        <v>Yes/No</v>
      </c>
      <c r="T104" s="303"/>
      <c r="U104" s="384" t="s">
        <v>254</v>
      </c>
      <c r="W104" s="561" t="str">
        <f>'Assessment Issue Scoring'!E914</f>
        <v>Please select</v>
      </c>
      <c r="X104" s="304"/>
      <c r="Y104" s="304"/>
      <c r="AA104" s="494" t="s">
        <v>14</v>
      </c>
      <c r="AB104" s="495" t="s">
        <v>14</v>
      </c>
      <c r="AC104" s="495" t="s">
        <v>14</v>
      </c>
      <c r="AD104" s="495" t="s">
        <v>14</v>
      </c>
      <c r="AE104" s="496" t="s">
        <v>14</v>
      </c>
      <c r="AG104" s="494" t="s">
        <v>14</v>
      </c>
      <c r="AH104" s="495" t="s">
        <v>14</v>
      </c>
      <c r="AI104" s="495" t="s">
        <v>14</v>
      </c>
      <c r="AJ104" s="495" t="s">
        <v>14</v>
      </c>
      <c r="AK104" s="496" t="s">
        <v>14</v>
      </c>
      <c r="AM104" s="498" t="str">
        <f t="shared" ref="AM104" si="71">IF($D$5=$G$8,AG104,AA104)</f>
        <v>Yes</v>
      </c>
      <c r="AN104" s="499" t="str">
        <f t="shared" ref="AN104" si="72">IF($D$5=$G$8,AH104,AB104)</f>
        <v>Yes</v>
      </c>
      <c r="AO104" s="499" t="str">
        <f t="shared" ref="AO104" si="73">IF($D$5=$G$8,AI104,AC104)</f>
        <v>Yes</v>
      </c>
      <c r="AP104" s="499" t="str">
        <f t="shared" ref="AP104" si="74">IF($D$5=$G$8,AJ104,AD104)</f>
        <v>Yes</v>
      </c>
      <c r="AQ104" s="500" t="str">
        <f>IF($D$5=$G$8,AK104,AE104)</f>
        <v>Yes</v>
      </c>
      <c r="AR104" s="498">
        <f>IF(W104="Yes",5,0)</f>
        <v>0</v>
      </c>
      <c r="AS104" s="501" t="str">
        <f>VLOOKUP(AR104,$BB$8:$BC$14,2,FALSE)</f>
        <v>Unclassified</v>
      </c>
      <c r="AT104" s="502"/>
      <c r="AU104" s="498">
        <f>IF(X104="Yes",5,0)</f>
        <v>0</v>
      </c>
      <c r="AV104" s="501" t="str">
        <f>VLOOKUP(AU104,$BB$8:$BC$14,2,FALSE)</f>
        <v>Unclassified</v>
      </c>
      <c r="AW104" s="502"/>
      <c r="AX104" s="498">
        <f>IF(Y104="Yes",5,0)</f>
        <v>0</v>
      </c>
      <c r="AY104" s="501" t="str">
        <f>VLOOKUP(AX104,$BB$8:$BC$14,2,FALSE)</f>
        <v>Unclassified</v>
      </c>
      <c r="AZ104" s="502"/>
    </row>
    <row r="106" spans="1:58" ht="15.75" thickBot="1" x14ac:dyDescent="0.3">
      <c r="D106" s="386" t="s">
        <v>287</v>
      </c>
      <c r="E106" s="177">
        <f>E16+E28+E41+E50+E57+E64+E71+E79+E87</f>
        <v>132</v>
      </c>
      <c r="F106" s="177">
        <f>F16+F28+F41+F50+F57+F64+F71+F79+F87</f>
        <v>131</v>
      </c>
      <c r="G106" s="177">
        <f>G16+G28+G41+G50+G57+G64+G71+G79+G87</f>
        <v>125</v>
      </c>
      <c r="H106" s="177">
        <f>H16+H28+H41+H50+H57+H64+H71+H79+H87</f>
        <v>131</v>
      </c>
      <c r="I106" s="177">
        <f>I16+I28+I41+I50+I57+I64+I71+I79+I87</f>
        <v>133</v>
      </c>
      <c r="K106" s="177">
        <f>K16+K28+K41+K50+K57+K64+K71+K79+K87+K99</f>
        <v>142</v>
      </c>
      <c r="Q106" s="177">
        <f>Q16+Q28+Q41+Q50+Q57+Q64+Q71+Q79+Q87+Q99</f>
        <v>13</v>
      </c>
      <c r="R106" s="177">
        <f>R16+R28+R41+R50+R57+R64+R71+R79+R87+R99</f>
        <v>129</v>
      </c>
    </row>
    <row r="107" spans="1:58" x14ac:dyDescent="0.25">
      <c r="AL107" s="1385" t="s">
        <v>258</v>
      </c>
      <c r="AM107" s="1386"/>
      <c r="AN107" s="1386"/>
      <c r="AO107" s="1386"/>
      <c r="AP107" s="1386"/>
      <c r="AQ107" s="1387"/>
      <c r="AR107" s="387">
        <f>MIN(AR9:AR104)</f>
        <v>0</v>
      </c>
      <c r="AS107" s="124" t="str">
        <f>VLOOKUP(AR107,$BB$8:$BC$14,2,FALSE)</f>
        <v>Unclassified</v>
      </c>
      <c r="AT107" s="125">
        <f>VLOOKUP(BP_MinStandards,BE107:BG112,2,FALSE)</f>
        <v>0</v>
      </c>
      <c r="AU107" s="387">
        <f>MIN(AU9:AU104)</f>
        <v>0</v>
      </c>
      <c r="AV107" s="124" t="str">
        <f>VLOOKUP(AU107,$BB$8:$BC$14,2,FALSE)</f>
        <v>Unclassified</v>
      </c>
      <c r="AW107" s="125">
        <f>VLOOKUP(BP_MinStandards_design,BE107:BG112,2,FALSE)</f>
        <v>0</v>
      </c>
      <c r="AX107" s="387">
        <f>MIN(AX9:AX104)</f>
        <v>0</v>
      </c>
      <c r="AY107" s="124" t="str">
        <f>VLOOKUP(AX107,$BB$8:$BC$14,2,FALSE)</f>
        <v>Unclassified</v>
      </c>
      <c r="AZ107" s="125">
        <f>VLOOKUP(BP_MinStandards_const,BE107:BG112,2,FALSE)</f>
        <v>0</v>
      </c>
      <c r="BC107" s="388" t="s">
        <v>262</v>
      </c>
      <c r="BD107" s="389">
        <v>0</v>
      </c>
      <c r="BE107" s="390" t="s">
        <v>77</v>
      </c>
      <c r="BF107" s="391">
        <v>0</v>
      </c>
    </row>
    <row r="108" spans="1:58" x14ac:dyDescent="0.25">
      <c r="C108" s="395"/>
      <c r="D108" s="395" t="s">
        <v>246</v>
      </c>
      <c r="E108" s="395"/>
      <c r="F108" s="395"/>
      <c r="G108" s="395"/>
      <c r="H108" s="395"/>
      <c r="I108" s="395"/>
      <c r="U108" s="177">
        <f>Man_cont_tot+Hea_cont_tot+Ene_cont_tot+Tra_cont_tot+Wat_cont_tot+Mat_cont_tot+Wst_cont_tot+LE_cont_tot+Pol_cont_tot+Inn_cont_tot</f>
        <v>0</v>
      </c>
      <c r="AL108" s="1365" t="s">
        <v>259</v>
      </c>
      <c r="AM108" s="1366"/>
      <c r="AN108" s="1366"/>
      <c r="AO108" s="1366"/>
      <c r="AP108" s="1366"/>
      <c r="AQ108" s="1367"/>
      <c r="AR108" s="383">
        <f>Man_Credits+Hea_Credits+Ene_Credits+Tra_Credits+Wat__Credits+Mat_Credits+Wst_Credits+LE_Credits+Pol_Credits+Inn_Credits</f>
        <v>129</v>
      </c>
      <c r="AS108" s="299"/>
      <c r="AT108" s="319"/>
      <c r="AU108" s="383">
        <f>Man_Credits+Hea_Credits+Ene_Credits+Tra_Credits+Wat__Credits+Mat_Credits+Wst_Credits+LE_Credits+Pol_Credits+Inn_Credits</f>
        <v>129</v>
      </c>
      <c r="AV108" s="299"/>
      <c r="AW108" s="319"/>
      <c r="AX108" s="383">
        <f>Man_Credits+Hea_Credits+Ene_Credits+Tra_Credits+Wat__Credits+Mat_Credits+Wst_Credits+LE_Credits+Pol_Credits+Inn_Credits</f>
        <v>129</v>
      </c>
      <c r="AY108" s="299"/>
      <c r="AZ108" s="319"/>
      <c r="BC108" s="392" t="s">
        <v>261</v>
      </c>
      <c r="BD108" s="393">
        <v>0.3</v>
      </c>
      <c r="BE108" s="182" t="s">
        <v>79</v>
      </c>
      <c r="BF108" s="394">
        <v>1</v>
      </c>
    </row>
    <row r="109" spans="1:58" x14ac:dyDescent="0.25">
      <c r="D109" s="177" t="s">
        <v>340</v>
      </c>
      <c r="AL109" s="1365" t="s">
        <v>260</v>
      </c>
      <c r="AM109" s="1366"/>
      <c r="AN109" s="1366"/>
      <c r="AO109" s="1366"/>
      <c r="AP109" s="1366"/>
      <c r="AQ109" s="1367"/>
      <c r="AR109" s="383">
        <f>Achieved_initial</f>
        <v>0</v>
      </c>
      <c r="AS109" s="299"/>
      <c r="AT109" s="319"/>
      <c r="AU109" s="383" t="e">
        <f>Achieved_design</f>
        <v>#NAME?</v>
      </c>
      <c r="AV109" s="299"/>
      <c r="AW109" s="319"/>
      <c r="AX109" s="383">
        <f>Achieved_const</f>
        <v>0</v>
      </c>
      <c r="AY109" s="299"/>
      <c r="AZ109" s="319"/>
      <c r="BC109" s="392" t="s">
        <v>261</v>
      </c>
      <c r="BD109" s="393">
        <v>0.45</v>
      </c>
      <c r="BE109" s="182" t="s">
        <v>80</v>
      </c>
      <c r="BF109" s="394">
        <v>2</v>
      </c>
    </row>
    <row r="110" spans="1:58" ht="15.75" thickBot="1" x14ac:dyDescent="0.3">
      <c r="D110" s="177" t="s">
        <v>117</v>
      </c>
      <c r="AL110" s="1368" t="s">
        <v>263</v>
      </c>
      <c r="AM110" s="1369"/>
      <c r="AN110" s="1369"/>
      <c r="AO110" s="1369"/>
      <c r="AP110" s="1369"/>
      <c r="AQ110" s="1370"/>
      <c r="AR110" s="128">
        <f>Score_Initial</f>
        <v>0</v>
      </c>
      <c r="AS110" s="126" t="str">
        <f>IF(AR110&gt;=BD112,BE112,IF(AR110&gt;=BD111,BE111,IF(AR110&gt;=BD110,BE110,IF(AR110&gt;=BD109,BE109,IF(AR110&gt;=BD108,BE108,BE107)))))</f>
        <v>Unclassified</v>
      </c>
      <c r="AT110" s="127">
        <f>VLOOKUP(AS110,BE107:BG112,2,FALSE)</f>
        <v>0</v>
      </c>
      <c r="AU110" s="128">
        <f>Score_design</f>
        <v>0</v>
      </c>
      <c r="AV110" s="126" t="str">
        <f>IF(AU110&gt;=BD112,BE112,IF(AU110&gt;=BD111,BE111,IF(AU110&gt;=BD110,BE110,IF(AU110&gt;=BD109,BE109,IF(AU110&gt;=BD108,BE108,BE107)))))</f>
        <v>Unclassified</v>
      </c>
      <c r="AW110" s="127">
        <f>VLOOKUP(AV110,BE107:BG112,2,FALSE)</f>
        <v>0</v>
      </c>
      <c r="AX110" s="128">
        <f>Score_const</f>
        <v>0</v>
      </c>
      <c r="AY110" s="126" t="str">
        <f>IF(AX110&gt;=BD112,BE112,IF(AX110&gt;=BD111,BE111,IF(AX110&gt;=BD110,BE110,IF(AX110&gt;=BD109,BE109,IF(AX110&gt;=BD108,BE108,BE107)))))</f>
        <v>Unclassified</v>
      </c>
      <c r="AZ110" s="127">
        <f>VLOOKUP(AY110,BE107:BG112,2,FALSE)</f>
        <v>0</v>
      </c>
      <c r="BC110" s="392" t="s">
        <v>261</v>
      </c>
      <c r="BD110" s="393">
        <v>0.55000000000000004</v>
      </c>
      <c r="BE110" s="182" t="s">
        <v>81</v>
      </c>
      <c r="BF110" s="394">
        <v>3</v>
      </c>
    </row>
    <row r="111" spans="1:58" ht="15.75" thickBot="1" x14ac:dyDescent="0.3">
      <c r="D111" s="177" t="s">
        <v>159</v>
      </c>
      <c r="AL111" s="230"/>
      <c r="AM111" s="230"/>
      <c r="AN111" s="230"/>
      <c r="AO111" s="230"/>
      <c r="AP111" s="230"/>
      <c r="AQ111" s="230"/>
      <c r="AR111" s="230"/>
      <c r="AS111" s="230"/>
      <c r="BC111" s="392" t="s">
        <v>261</v>
      </c>
      <c r="BD111" s="393">
        <v>0.7</v>
      </c>
      <c r="BE111" s="182" t="s">
        <v>82</v>
      </c>
      <c r="BF111" s="394">
        <v>4</v>
      </c>
    </row>
    <row r="112" spans="1:58" ht="15.75" thickBot="1" x14ac:dyDescent="0.3">
      <c r="D112" s="177" t="s">
        <v>166</v>
      </c>
      <c r="AL112" s="396" t="s">
        <v>264</v>
      </c>
      <c r="AM112" s="397"/>
      <c r="AN112" s="397"/>
      <c r="AO112" s="397"/>
      <c r="AP112" s="397"/>
      <c r="AQ112" s="398"/>
      <c r="AR112" s="399" t="s">
        <v>265</v>
      </c>
      <c r="AS112" s="96" t="str">
        <f>IF(AT112=1,(BP_MinStandards&amp;"*"),AS110)</f>
        <v>Unclassified</v>
      </c>
      <c r="AT112" s="95">
        <f>IF(AT107&lt;AT110,1,0)</f>
        <v>0</v>
      </c>
      <c r="AV112" s="96" t="str">
        <f>IF(AW112=1,(BP_MinStandards_design&amp;"*"),AV110)</f>
        <v>Unclassified</v>
      </c>
      <c r="AW112" s="95">
        <f>IF(AW107&lt;AW110,1,0)</f>
        <v>0</v>
      </c>
      <c r="AY112" s="96" t="str">
        <f>IF(AZ112=1,(BP_MinStandards_const&amp;"*"),AY110)</f>
        <v>Unclassified</v>
      </c>
      <c r="AZ112" s="95">
        <f>IF(AZ107&lt;AZ110,1,0)</f>
        <v>0</v>
      </c>
      <c r="BC112" s="400" t="s">
        <v>261</v>
      </c>
      <c r="BD112" s="401">
        <v>0.85</v>
      </c>
      <c r="BE112" s="402" t="s">
        <v>83</v>
      </c>
      <c r="BF112" s="403">
        <v>5</v>
      </c>
    </row>
    <row r="113" spans="3:51" x14ac:dyDescent="0.25">
      <c r="D113" s="177" t="s">
        <v>170</v>
      </c>
    </row>
    <row r="114" spans="3:51" x14ac:dyDescent="0.25">
      <c r="D114" s="177" t="s">
        <v>171</v>
      </c>
      <c r="AL114" s="177" t="s">
        <v>266</v>
      </c>
    </row>
    <row r="115" spans="3:51" x14ac:dyDescent="0.25">
      <c r="D115" s="177" t="s">
        <v>348</v>
      </c>
      <c r="AS115" s="404" t="str">
        <f>IF(AT112=1,AL114,"")</f>
        <v/>
      </c>
      <c r="AV115" s="404" t="str">
        <f>IF(AW112=1,AL114,"")</f>
        <v/>
      </c>
      <c r="AY115" s="404" t="str">
        <f>IF(AZ112=1,AL114,"")</f>
        <v/>
      </c>
    </row>
    <row r="116" spans="3:51" x14ac:dyDescent="0.25">
      <c r="D116" s="177" t="s">
        <v>347</v>
      </c>
    </row>
    <row r="117" spans="3:51" x14ac:dyDescent="0.25">
      <c r="D117" s="177" t="s">
        <v>988</v>
      </c>
      <c r="AL117" s="177" t="str">
        <f>"* = "&amp;AL114</f>
        <v>* = The rating has been limited to the min. standards level achieved</v>
      </c>
    </row>
    <row r="124" spans="3:51" x14ac:dyDescent="0.25">
      <c r="C124" s="177" t="s">
        <v>14</v>
      </c>
      <c r="D124" s="177" t="s">
        <v>89</v>
      </c>
      <c r="E124" s="177" t="s">
        <v>343</v>
      </c>
    </row>
    <row r="125" spans="3:51" x14ac:dyDescent="0.25">
      <c r="C125" s="177" t="s">
        <v>15</v>
      </c>
      <c r="D125" s="177" t="s">
        <v>89</v>
      </c>
      <c r="E125" s="177" t="s">
        <v>344</v>
      </c>
    </row>
  </sheetData>
  <sheetProtection algorithmName="SHA-512" hashValue="yKtRTXxE8hsE1FtP764jz+fAHxjaqxkjraze3XgksuzwM6M44v3ZtE/ZoUV7BSH43kjkjLZQ7pxYnowsXG/mUw==" saltValue="EXhawOiXDgi1YxkSBaxMrg==" spinCount="100000" sheet="1" selectLockedCells="1"/>
  <sortState xmlns:xlrd2="http://schemas.microsoft.com/office/spreadsheetml/2017/richdata2" ref="D158:E241">
    <sortCondition ref="E158:E241"/>
  </sortState>
  <mergeCells count="12">
    <mergeCell ref="AX7:AZ7"/>
    <mergeCell ref="AR7:AT7"/>
    <mergeCell ref="AU7:AW7"/>
    <mergeCell ref="AL107:AQ107"/>
    <mergeCell ref="AL108:AQ108"/>
    <mergeCell ref="AL109:AQ109"/>
    <mergeCell ref="AL110:AQ110"/>
    <mergeCell ref="E7:I7"/>
    <mergeCell ref="L7:P7"/>
    <mergeCell ref="AA7:AE7"/>
    <mergeCell ref="AG7:AK7"/>
    <mergeCell ref="AM7:AQ7"/>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10"/>
  <sheetViews>
    <sheetView zoomScale="70" zoomScaleNormal="70" workbookViewId="0">
      <selection activeCell="J3" sqref="J3"/>
    </sheetView>
  </sheetViews>
  <sheetFormatPr defaultColWidth="9.140625" defaultRowHeight="15" x14ac:dyDescent="0.25"/>
  <cols>
    <col min="2" max="2" width="60.42578125" bestFit="1" customWidth="1"/>
    <col min="3" max="3" width="19.85546875" customWidth="1"/>
    <col min="4" max="4" width="27.140625" bestFit="1" customWidth="1"/>
    <col min="5" max="5" width="22.5703125" style="49" bestFit="1" customWidth="1"/>
    <col min="6" max="6" width="24.42578125" customWidth="1"/>
    <col min="7" max="7" width="11.42578125" customWidth="1"/>
    <col min="13" max="13" width="20.140625" bestFit="1" customWidth="1"/>
    <col min="16" max="16" width="9" customWidth="1"/>
    <col min="17" max="17" width="21.5703125" customWidth="1"/>
    <col min="18" max="18" width="53.5703125" customWidth="1"/>
    <col min="19" max="19" width="41.5703125" customWidth="1"/>
    <col min="20" max="20" width="88.140625" customWidth="1"/>
  </cols>
  <sheetData>
    <row r="1" spans="1:20" s="49" customFormat="1" ht="15.75" thickBot="1" x14ac:dyDescent="0.3">
      <c r="G1" s="49">
        <v>7</v>
      </c>
      <c r="I1" s="49" t="s">
        <v>15</v>
      </c>
    </row>
    <row r="2" spans="1:20" s="49" customFormat="1" ht="15.75" thickBot="1" x14ac:dyDescent="0.3">
      <c r="B2" s="102" t="s">
        <v>271</v>
      </c>
      <c r="C2" s="102"/>
      <c r="D2" s="102"/>
      <c r="E2" s="102"/>
      <c r="F2" s="102"/>
      <c r="G2" s="713" t="s">
        <v>1167</v>
      </c>
      <c r="H2" s="714" t="s">
        <v>15</v>
      </c>
      <c r="I2" s="49" t="s">
        <v>14</v>
      </c>
    </row>
    <row r="3" spans="1:20" s="49" customFormat="1" x14ac:dyDescent="0.25"/>
    <row r="4" spans="1:20" s="49" customFormat="1" ht="15.75" thickBot="1" x14ac:dyDescent="0.3">
      <c r="J4" s="49" t="s">
        <v>812</v>
      </c>
      <c r="Q4" s="49" t="s">
        <v>1168</v>
      </c>
    </row>
    <row r="5" spans="1:20" ht="15.75" thickBot="1" x14ac:dyDescent="0.3">
      <c r="B5" s="91" t="s">
        <v>91</v>
      </c>
      <c r="C5" s="94" t="s">
        <v>267</v>
      </c>
      <c r="D5" s="99" t="s">
        <v>270</v>
      </c>
      <c r="E5" s="94" t="s">
        <v>231</v>
      </c>
      <c r="F5" s="757" t="s">
        <v>1208</v>
      </c>
      <c r="G5" s="748" t="s">
        <v>1207</v>
      </c>
      <c r="J5" s="757" t="s">
        <v>11</v>
      </c>
      <c r="P5" s="49"/>
      <c r="Q5" s="715" t="s">
        <v>1169</v>
      </c>
      <c r="R5" s="716" t="s">
        <v>1170</v>
      </c>
      <c r="S5" s="716" t="s">
        <v>1171</v>
      </c>
      <c r="T5" s="717" t="s">
        <v>1172</v>
      </c>
    </row>
    <row r="6" spans="1:20" ht="15.75" thickBot="1" x14ac:dyDescent="0.3">
      <c r="B6" s="98" t="s">
        <v>66</v>
      </c>
      <c r="C6" s="98"/>
      <c r="D6" s="98"/>
      <c r="E6" s="98"/>
      <c r="G6" s="678"/>
      <c r="M6" s="741" t="s">
        <v>1173</v>
      </c>
      <c r="N6" s="49" t="b">
        <f>M6=Q6</f>
        <v>1</v>
      </c>
      <c r="P6" s="49"/>
      <c r="Q6" s="718" t="s">
        <v>1173</v>
      </c>
      <c r="R6" s="719"/>
      <c r="S6" s="719"/>
      <c r="T6" s="720"/>
    </row>
    <row r="7" spans="1:20" x14ac:dyDescent="0.25">
      <c r="A7" t="s">
        <v>97</v>
      </c>
      <c r="B7" s="85" t="s">
        <v>336</v>
      </c>
      <c r="C7" s="85">
        <f>Poeng!K9</f>
        <v>4</v>
      </c>
      <c r="D7" s="84"/>
      <c r="E7" s="85">
        <f>Poeng!R9</f>
        <v>4</v>
      </c>
      <c r="G7" s="678">
        <f>SUMIF($P$7:$P$91,A7,$S$7:$S$91)</f>
        <v>4</v>
      </c>
      <c r="H7" s="749" t="str">
        <f>IF(E7=G7,"OK","FEIL")</f>
        <v>OK</v>
      </c>
      <c r="M7" s="722" t="s">
        <v>97</v>
      </c>
      <c r="N7" s="49" t="b">
        <f t="shared" ref="N7:N70" si="0">M7=Q7</f>
        <v>1</v>
      </c>
      <c r="P7" s="49" t="s">
        <v>97</v>
      </c>
      <c r="Q7" s="721" t="s">
        <v>97</v>
      </c>
      <c r="R7" s="722" t="s">
        <v>1174</v>
      </c>
      <c r="S7" s="723">
        <v>4</v>
      </c>
      <c r="T7" s="724" t="s">
        <v>1175</v>
      </c>
    </row>
    <row r="8" spans="1:20" x14ac:dyDescent="0.25">
      <c r="A8" t="s">
        <v>98</v>
      </c>
      <c r="B8" s="83" t="s">
        <v>337</v>
      </c>
      <c r="C8" s="83">
        <f>Poeng!K10</f>
        <v>4</v>
      </c>
      <c r="D8" s="82"/>
      <c r="E8" s="85">
        <f>Poeng!R10</f>
        <v>4</v>
      </c>
      <c r="G8" s="678">
        <f t="shared" ref="G8:G13" si="1">SUMIF($P$7:$P$91,A8,$S$7:$S$91)</f>
        <v>4</v>
      </c>
      <c r="H8" s="749" t="str">
        <f t="shared" ref="H8:H71" si="2">IF(E8=G8,"OK","FEIL")</f>
        <v>OK</v>
      </c>
      <c r="M8" s="722" t="s">
        <v>98</v>
      </c>
      <c r="N8" s="49" t="b">
        <f t="shared" si="0"/>
        <v>1</v>
      </c>
      <c r="P8" s="49" t="s">
        <v>98</v>
      </c>
      <c r="Q8" s="721" t="s">
        <v>98</v>
      </c>
      <c r="R8" s="722" t="s">
        <v>881</v>
      </c>
      <c r="S8" s="725">
        <v>4</v>
      </c>
      <c r="T8" s="726" t="s">
        <v>1175</v>
      </c>
    </row>
    <row r="9" spans="1:20" x14ac:dyDescent="0.25">
      <c r="A9" t="s">
        <v>99</v>
      </c>
      <c r="B9" s="83" t="s">
        <v>338</v>
      </c>
      <c r="C9" s="83">
        <f>Poeng!K11</f>
        <v>6</v>
      </c>
      <c r="D9" s="82"/>
      <c r="E9" s="85">
        <f>Poeng!R11</f>
        <v>6</v>
      </c>
      <c r="F9" s="49"/>
      <c r="G9" s="678">
        <f t="shared" si="1"/>
        <v>6</v>
      </c>
      <c r="H9" s="749" t="str">
        <f t="shared" si="2"/>
        <v>OK</v>
      </c>
      <c r="M9" s="722" t="s">
        <v>99</v>
      </c>
      <c r="N9" s="49" t="b">
        <f t="shared" si="0"/>
        <v>1</v>
      </c>
      <c r="P9" s="49" t="s">
        <v>99</v>
      </c>
      <c r="Q9" s="721" t="s">
        <v>99</v>
      </c>
      <c r="R9" s="722" t="s">
        <v>882</v>
      </c>
      <c r="S9" s="723">
        <v>6</v>
      </c>
      <c r="T9" s="724" t="s">
        <v>1175</v>
      </c>
    </row>
    <row r="10" spans="1:20" x14ac:dyDescent="0.25">
      <c r="A10" t="s">
        <v>100</v>
      </c>
      <c r="B10" s="83" t="s">
        <v>339</v>
      </c>
      <c r="C10" s="83">
        <f>Poeng!K12</f>
        <v>3</v>
      </c>
      <c r="D10" s="82"/>
      <c r="E10" s="85">
        <f>Poeng!R12</f>
        <v>3</v>
      </c>
      <c r="F10" s="49"/>
      <c r="G10" s="678">
        <f t="shared" si="1"/>
        <v>3</v>
      </c>
      <c r="H10" s="749" t="str">
        <f t="shared" si="2"/>
        <v>OK</v>
      </c>
      <c r="M10" s="722" t="s">
        <v>100</v>
      </c>
      <c r="N10" s="49" t="b">
        <f t="shared" si="0"/>
        <v>1</v>
      </c>
      <c r="P10" s="49" t="s">
        <v>100</v>
      </c>
      <c r="Q10" s="721" t="s">
        <v>100</v>
      </c>
      <c r="R10" s="722" t="s">
        <v>1176</v>
      </c>
      <c r="S10" s="723">
        <v>3</v>
      </c>
      <c r="T10" s="724" t="s">
        <v>1175</v>
      </c>
    </row>
    <row r="11" spans="1:20" x14ac:dyDescent="0.25">
      <c r="A11" t="s">
        <v>101</v>
      </c>
      <c r="B11" s="83" t="s">
        <v>340</v>
      </c>
      <c r="C11" s="83">
        <f>Poeng!K13</f>
        <v>3</v>
      </c>
      <c r="D11" s="82"/>
      <c r="E11" s="85">
        <f>Poeng!R13</f>
        <v>3</v>
      </c>
      <c r="G11" s="678">
        <f t="shared" si="1"/>
        <v>3</v>
      </c>
      <c r="H11" s="749" t="str">
        <f t="shared" si="2"/>
        <v>OK</v>
      </c>
      <c r="M11" s="722" t="s">
        <v>101</v>
      </c>
      <c r="N11" s="49" t="b">
        <f t="shared" si="0"/>
        <v>1</v>
      </c>
      <c r="P11" s="49" t="s">
        <v>101</v>
      </c>
      <c r="Q11" s="721" t="s">
        <v>101</v>
      </c>
      <c r="R11" s="722" t="s">
        <v>883</v>
      </c>
      <c r="S11" s="723">
        <v>3</v>
      </c>
      <c r="T11" s="724" t="s">
        <v>1175</v>
      </c>
    </row>
    <row r="12" spans="1:20" x14ac:dyDescent="0.25">
      <c r="B12" s="83" t="s">
        <v>102</v>
      </c>
      <c r="C12" s="83">
        <f>Poeng!K14</f>
        <v>0</v>
      </c>
      <c r="D12" s="82"/>
      <c r="E12" s="85">
        <f>Poeng!R14</f>
        <v>0</v>
      </c>
      <c r="G12" s="678">
        <f t="shared" si="1"/>
        <v>0</v>
      </c>
      <c r="H12" s="749" t="str">
        <f t="shared" si="2"/>
        <v>OK</v>
      </c>
      <c r="M12" s="728"/>
      <c r="N12" s="49" t="b">
        <f t="shared" si="0"/>
        <v>1</v>
      </c>
      <c r="P12" s="49"/>
      <c r="Q12" s="727"/>
      <c r="R12" s="728"/>
      <c r="S12" s="728"/>
      <c r="T12" s="729"/>
    </row>
    <row r="13" spans="1:20" ht="15.75" thickBot="1" x14ac:dyDescent="0.3">
      <c r="B13" s="88" t="s">
        <v>103</v>
      </c>
      <c r="C13" s="88">
        <f>Poeng!K15</f>
        <v>0</v>
      </c>
      <c r="D13" s="87"/>
      <c r="E13" s="85">
        <f>Poeng!R15</f>
        <v>0</v>
      </c>
      <c r="G13" s="678">
        <f t="shared" si="1"/>
        <v>0</v>
      </c>
      <c r="H13" s="749" t="str">
        <f t="shared" si="2"/>
        <v>OK</v>
      </c>
      <c r="M13" s="742" t="s">
        <v>1177</v>
      </c>
      <c r="N13" s="49" t="b">
        <f t="shared" si="0"/>
        <v>1</v>
      </c>
      <c r="P13" s="49"/>
      <c r="Q13" s="730" t="s">
        <v>1177</v>
      </c>
      <c r="R13" s="728"/>
      <c r="S13" s="728"/>
      <c r="T13" s="729"/>
    </row>
    <row r="14" spans="1:20" ht="25.5" thickBot="1" x14ac:dyDescent="0.3">
      <c r="B14" s="89" t="s">
        <v>231</v>
      </c>
      <c r="C14" s="89">
        <f>Poeng!K16</f>
        <v>20</v>
      </c>
      <c r="D14" s="89"/>
      <c r="E14" s="89">
        <f>SUM(E7:E13)</f>
        <v>20</v>
      </c>
      <c r="G14" s="89">
        <f>SUM(G7:G13)</f>
        <v>20</v>
      </c>
      <c r="H14" s="749" t="str">
        <f t="shared" si="2"/>
        <v>OK</v>
      </c>
      <c r="M14" s="743" t="s">
        <v>125</v>
      </c>
      <c r="N14" s="49" t="b">
        <f t="shared" si="0"/>
        <v>1</v>
      </c>
      <c r="P14" s="49" t="s">
        <v>125</v>
      </c>
      <c r="Q14" s="1388" t="s">
        <v>125</v>
      </c>
      <c r="R14" s="731" t="s">
        <v>1178</v>
      </c>
      <c r="S14" s="723">
        <v>2</v>
      </c>
      <c r="T14" s="732" t="s">
        <v>1175</v>
      </c>
    </row>
    <row r="15" spans="1:20" ht="15.75" thickBot="1" x14ac:dyDescent="0.3">
      <c r="B15" s="49"/>
      <c r="C15" s="49"/>
      <c r="D15" s="49"/>
      <c r="G15" s="678"/>
      <c r="H15" s="749" t="str">
        <f t="shared" si="2"/>
        <v>OK</v>
      </c>
      <c r="M15" s="744"/>
      <c r="N15" s="49" t="b">
        <f t="shared" si="0"/>
        <v>1</v>
      </c>
      <c r="P15" s="49" t="s">
        <v>125</v>
      </c>
      <c r="Q15" s="1389"/>
      <c r="R15" s="733" t="s">
        <v>380</v>
      </c>
      <c r="S15" s="725">
        <v>1</v>
      </c>
      <c r="T15" s="734" t="s">
        <v>1175</v>
      </c>
    </row>
    <row r="16" spans="1:20" ht="15.75" thickBot="1" x14ac:dyDescent="0.3">
      <c r="B16" s="86" t="s">
        <v>69</v>
      </c>
      <c r="C16" s="86"/>
      <c r="D16" s="86"/>
      <c r="E16" s="86"/>
      <c r="G16" s="678">
        <f t="shared" ref="G16:G25" si="3">SUMIF($P$7:$P$91,A16,$S$7:$S$91)</f>
        <v>0</v>
      </c>
      <c r="H16" s="749" t="str">
        <f t="shared" si="2"/>
        <v>OK</v>
      </c>
      <c r="M16" s="745"/>
      <c r="N16" s="49" t="b">
        <f t="shared" si="0"/>
        <v>1</v>
      </c>
      <c r="P16" s="49" t="s">
        <v>125</v>
      </c>
      <c r="Q16" s="1390"/>
      <c r="R16" s="733" t="s">
        <v>1179</v>
      </c>
      <c r="S16" s="723">
        <v>1</v>
      </c>
      <c r="T16" s="732" t="s">
        <v>1175</v>
      </c>
    </row>
    <row r="17" spans="1:20" ht="24.75" x14ac:dyDescent="0.25">
      <c r="A17" s="750" t="s">
        <v>125</v>
      </c>
      <c r="B17" s="751" t="s">
        <v>123</v>
      </c>
      <c r="C17" s="751">
        <f>Poeng!K19</f>
        <v>4</v>
      </c>
      <c r="D17" s="751"/>
      <c r="E17" s="751">
        <f>Poeng!R19</f>
        <v>4</v>
      </c>
      <c r="F17" s="750" t="s">
        <v>1239</v>
      </c>
      <c r="G17" s="752">
        <f t="shared" si="3"/>
        <v>4</v>
      </c>
      <c r="H17" s="749" t="str">
        <f t="shared" si="2"/>
        <v>OK</v>
      </c>
      <c r="M17" s="743" t="s">
        <v>126</v>
      </c>
      <c r="N17" s="49" t="b">
        <f t="shared" si="0"/>
        <v>1</v>
      </c>
      <c r="P17" s="49" t="s">
        <v>126</v>
      </c>
      <c r="Q17" s="1388" t="s">
        <v>126</v>
      </c>
      <c r="R17" s="731" t="s">
        <v>1180</v>
      </c>
      <c r="S17" s="723">
        <v>4</v>
      </c>
      <c r="T17" s="732" t="s">
        <v>1175</v>
      </c>
    </row>
    <row r="18" spans="1:20" x14ac:dyDescent="0.25">
      <c r="A18" s="750" t="s">
        <v>126</v>
      </c>
      <c r="B18" s="753" t="s">
        <v>117</v>
      </c>
      <c r="C18" s="753">
        <f>Poeng!K20</f>
        <v>7</v>
      </c>
      <c r="D18" s="753"/>
      <c r="E18" s="751">
        <f>Poeng!R20</f>
        <v>5</v>
      </c>
      <c r="F18" s="750" t="s">
        <v>1239</v>
      </c>
      <c r="G18" s="752">
        <f t="shared" si="3"/>
        <v>5</v>
      </c>
      <c r="H18" s="749" t="str">
        <f t="shared" si="2"/>
        <v>OK</v>
      </c>
      <c r="M18" s="744"/>
      <c r="N18" s="49" t="b">
        <f t="shared" si="0"/>
        <v>1</v>
      </c>
      <c r="P18" s="49" t="s">
        <v>126</v>
      </c>
      <c r="Q18" s="1389"/>
      <c r="R18" s="733" t="s">
        <v>795</v>
      </c>
      <c r="S18" s="723">
        <v>1</v>
      </c>
      <c r="T18" s="732" t="s">
        <v>1175</v>
      </c>
    </row>
    <row r="19" spans="1:20" x14ac:dyDescent="0.25">
      <c r="A19" t="s">
        <v>127</v>
      </c>
      <c r="B19" s="101" t="s">
        <v>118</v>
      </c>
      <c r="C19" s="101">
        <f>Poeng!K21</f>
        <v>2</v>
      </c>
      <c r="D19" s="82"/>
      <c r="E19" s="85">
        <f>Poeng!R21</f>
        <v>2</v>
      </c>
      <c r="F19" s="49"/>
      <c r="G19" s="678">
        <f t="shared" si="3"/>
        <v>2</v>
      </c>
      <c r="H19" s="749" t="str">
        <f t="shared" si="2"/>
        <v>OK</v>
      </c>
      <c r="M19" s="745"/>
      <c r="N19" s="49" t="b">
        <f t="shared" si="0"/>
        <v>1</v>
      </c>
      <c r="P19" s="49" t="s">
        <v>126</v>
      </c>
      <c r="Q19" s="1390"/>
      <c r="R19" s="733" t="s">
        <v>1181</v>
      </c>
      <c r="S19" s="723"/>
      <c r="T19" s="732" t="s">
        <v>1182</v>
      </c>
    </row>
    <row r="20" spans="1:20" x14ac:dyDescent="0.25">
      <c r="A20" t="s">
        <v>128</v>
      </c>
      <c r="B20" s="83" t="s">
        <v>119</v>
      </c>
      <c r="C20" s="83">
        <f>Poeng!K22</f>
        <v>1</v>
      </c>
      <c r="D20" s="82"/>
      <c r="E20" s="85">
        <f>Poeng!R22</f>
        <v>1</v>
      </c>
      <c r="G20" s="678">
        <f t="shared" si="3"/>
        <v>1</v>
      </c>
      <c r="H20" s="749" t="str">
        <f t="shared" si="2"/>
        <v>OK</v>
      </c>
      <c r="M20" s="733" t="s">
        <v>127</v>
      </c>
      <c r="N20" s="49" t="b">
        <f t="shared" si="0"/>
        <v>1</v>
      </c>
      <c r="P20" s="49" t="s">
        <v>127</v>
      </c>
      <c r="Q20" s="721" t="s">
        <v>127</v>
      </c>
      <c r="R20" s="733" t="s">
        <v>886</v>
      </c>
      <c r="S20" s="723">
        <v>2</v>
      </c>
      <c r="T20" s="732" t="s">
        <v>1175</v>
      </c>
    </row>
    <row r="21" spans="1:20" x14ac:dyDescent="0.25">
      <c r="A21" t="s">
        <v>129</v>
      </c>
      <c r="B21" s="83" t="s">
        <v>135</v>
      </c>
      <c r="C21" s="83">
        <f>Poeng!K23</f>
        <v>2</v>
      </c>
      <c r="D21" s="82"/>
      <c r="E21" s="85">
        <f>Poeng!R23</f>
        <v>2</v>
      </c>
      <c r="F21" s="750" t="s">
        <v>1244</v>
      </c>
      <c r="G21" s="678">
        <f t="shared" si="3"/>
        <v>2</v>
      </c>
      <c r="H21" s="749" t="str">
        <f t="shared" si="2"/>
        <v>OK</v>
      </c>
      <c r="M21" s="733" t="s">
        <v>128</v>
      </c>
      <c r="N21" s="49" t="b">
        <f t="shared" si="0"/>
        <v>1</v>
      </c>
      <c r="P21" s="49" t="s">
        <v>128</v>
      </c>
      <c r="Q21" s="721" t="s">
        <v>128</v>
      </c>
      <c r="R21" s="733" t="s">
        <v>887</v>
      </c>
      <c r="S21" s="723">
        <v>1</v>
      </c>
      <c r="T21" s="732" t="s">
        <v>1175</v>
      </c>
    </row>
    <row r="22" spans="1:20" x14ac:dyDescent="0.25">
      <c r="A22" t="s">
        <v>130</v>
      </c>
      <c r="B22" s="101" t="s">
        <v>120</v>
      </c>
      <c r="C22" s="101">
        <f>Poeng!K24</f>
        <v>2</v>
      </c>
      <c r="D22" s="82"/>
      <c r="E22" s="85">
        <f>Poeng!R24</f>
        <v>2</v>
      </c>
      <c r="F22" s="1222" t="s">
        <v>1245</v>
      </c>
      <c r="G22" s="678">
        <f t="shared" si="3"/>
        <v>2</v>
      </c>
      <c r="H22" s="749" t="str">
        <f t="shared" si="2"/>
        <v>OK</v>
      </c>
      <c r="M22" s="733" t="s">
        <v>129</v>
      </c>
      <c r="N22" s="49" t="b">
        <f t="shared" si="0"/>
        <v>1</v>
      </c>
      <c r="P22" s="49" t="s">
        <v>129</v>
      </c>
      <c r="Q22" s="721" t="s">
        <v>129</v>
      </c>
      <c r="R22" s="733" t="s">
        <v>888</v>
      </c>
      <c r="S22" s="723">
        <v>2</v>
      </c>
      <c r="T22" s="732" t="s">
        <v>1175</v>
      </c>
    </row>
    <row r="23" spans="1:20" x14ac:dyDescent="0.25">
      <c r="A23" t="s">
        <v>131</v>
      </c>
      <c r="B23" s="101" t="s">
        <v>121</v>
      </c>
      <c r="C23" s="101">
        <f>Poeng!K25</f>
        <v>1</v>
      </c>
      <c r="D23" s="82"/>
      <c r="E23" s="85">
        <f>Poeng!R25</f>
        <v>1</v>
      </c>
      <c r="G23" s="678">
        <f t="shared" si="3"/>
        <v>1</v>
      </c>
      <c r="H23" s="749" t="str">
        <f t="shared" si="2"/>
        <v>OK</v>
      </c>
      <c r="M23" s="733" t="s">
        <v>130</v>
      </c>
      <c r="N23" s="49" t="b">
        <f t="shared" si="0"/>
        <v>1</v>
      </c>
      <c r="P23" s="49" t="s">
        <v>130</v>
      </c>
      <c r="Q23" s="721" t="s">
        <v>130</v>
      </c>
      <c r="R23" s="733" t="s">
        <v>889</v>
      </c>
      <c r="S23" s="723">
        <v>2</v>
      </c>
      <c r="T23" s="732" t="s">
        <v>1175</v>
      </c>
    </row>
    <row r="24" spans="1:20" x14ac:dyDescent="0.25">
      <c r="A24" t="s">
        <v>132</v>
      </c>
      <c r="B24" s="83" t="s">
        <v>124</v>
      </c>
      <c r="C24" s="83">
        <f>Poeng!K26</f>
        <v>0</v>
      </c>
      <c r="D24" s="82"/>
      <c r="E24" s="85">
        <f>Poeng!R26</f>
        <v>0</v>
      </c>
      <c r="G24" s="678">
        <f t="shared" si="3"/>
        <v>0</v>
      </c>
      <c r="H24" s="749" t="str">
        <f t="shared" si="2"/>
        <v>OK</v>
      </c>
      <c r="M24" s="733" t="s">
        <v>131</v>
      </c>
      <c r="N24" s="49" t="b">
        <f t="shared" si="0"/>
        <v>1</v>
      </c>
      <c r="P24" s="49" t="s">
        <v>131</v>
      </c>
      <c r="Q24" s="721" t="s">
        <v>131</v>
      </c>
      <c r="R24" s="733" t="s">
        <v>1183</v>
      </c>
      <c r="S24" s="723">
        <v>1</v>
      </c>
      <c r="T24" s="732" t="s">
        <v>1175</v>
      </c>
    </row>
    <row r="25" spans="1:20" ht="15.75" thickBot="1" x14ac:dyDescent="0.3">
      <c r="A25" t="s">
        <v>133</v>
      </c>
      <c r="B25" s="88" t="s">
        <v>122</v>
      </c>
      <c r="C25" s="88">
        <f>Poeng!K27</f>
        <v>3</v>
      </c>
      <c r="D25" s="87"/>
      <c r="E25" s="85">
        <f>Poeng!R27</f>
        <v>3</v>
      </c>
      <c r="G25" s="678">
        <f t="shared" si="3"/>
        <v>3</v>
      </c>
      <c r="H25" s="749" t="str">
        <f t="shared" si="2"/>
        <v>OK</v>
      </c>
      <c r="M25" s="733" t="s">
        <v>132</v>
      </c>
      <c r="N25" s="49" t="b">
        <f t="shared" si="0"/>
        <v>1</v>
      </c>
      <c r="P25" s="49" t="s">
        <v>132</v>
      </c>
      <c r="Q25" s="721" t="s">
        <v>132</v>
      </c>
      <c r="R25" s="733" t="s">
        <v>891</v>
      </c>
      <c r="S25" s="723">
        <v>0</v>
      </c>
      <c r="T25" s="732" t="s">
        <v>1182</v>
      </c>
    </row>
    <row r="26" spans="1:20" ht="15.75" thickBot="1" x14ac:dyDescent="0.3">
      <c r="B26" s="89" t="s">
        <v>231</v>
      </c>
      <c r="C26" s="89">
        <f>Poeng!K28</f>
        <v>22</v>
      </c>
      <c r="D26" s="89"/>
      <c r="E26" s="89">
        <f>SUM(E17:E25)</f>
        <v>20</v>
      </c>
      <c r="G26" s="89">
        <f>SUM(G17:G25)</f>
        <v>20</v>
      </c>
      <c r="H26" s="749" t="str">
        <f t="shared" si="2"/>
        <v>OK</v>
      </c>
      <c r="M26" s="733" t="s">
        <v>133</v>
      </c>
      <c r="N26" s="49" t="b">
        <f t="shared" si="0"/>
        <v>1</v>
      </c>
      <c r="P26" s="49" t="s">
        <v>133</v>
      </c>
      <c r="Q26" s="721" t="s">
        <v>133</v>
      </c>
      <c r="R26" s="733" t="s">
        <v>892</v>
      </c>
      <c r="S26" s="723">
        <v>3</v>
      </c>
      <c r="T26" s="732" t="s">
        <v>1175</v>
      </c>
    </row>
    <row r="27" spans="1:20" ht="15.75" thickBot="1" x14ac:dyDescent="0.3">
      <c r="B27" s="49"/>
      <c r="C27" s="49"/>
      <c r="D27" s="49"/>
      <c r="G27" s="49"/>
      <c r="H27" s="749" t="str">
        <f t="shared" si="2"/>
        <v>OK</v>
      </c>
      <c r="M27" s="728"/>
      <c r="N27" s="49" t="b">
        <f t="shared" si="0"/>
        <v>1</v>
      </c>
      <c r="P27" s="49"/>
      <c r="Q27" s="727"/>
      <c r="R27" s="728"/>
      <c r="S27" s="728"/>
      <c r="T27" s="729"/>
    </row>
    <row r="28" spans="1:20" ht="15.75" thickBot="1" x14ac:dyDescent="0.3">
      <c r="B28" s="86" t="s">
        <v>70</v>
      </c>
      <c r="C28" s="86"/>
      <c r="D28" s="86"/>
      <c r="E28" s="86"/>
      <c r="G28" s="678">
        <f t="shared" ref="G28:G38" si="4">SUMIF($P$7:$P$91,A28,$S$7:$S$91)</f>
        <v>0</v>
      </c>
      <c r="H28" s="749" t="str">
        <f t="shared" si="2"/>
        <v>OK</v>
      </c>
      <c r="M28" s="742" t="s">
        <v>1184</v>
      </c>
      <c r="N28" s="49" t="b">
        <f t="shared" si="0"/>
        <v>1</v>
      </c>
      <c r="P28" s="49"/>
      <c r="Q28" s="730" t="s">
        <v>1184</v>
      </c>
      <c r="R28" s="728"/>
      <c r="S28" s="728"/>
      <c r="T28" s="729"/>
    </row>
    <row r="29" spans="1:20" x14ac:dyDescent="0.25">
      <c r="A29" t="s">
        <v>146</v>
      </c>
      <c r="B29" s="85" t="s">
        <v>136</v>
      </c>
      <c r="C29" s="85">
        <f>Poeng!K31</f>
        <v>12</v>
      </c>
      <c r="D29" s="84"/>
      <c r="E29" s="85">
        <f>Poeng!R31</f>
        <v>12</v>
      </c>
      <c r="F29" s="750" t="s">
        <v>1243</v>
      </c>
      <c r="G29" s="678">
        <f t="shared" si="4"/>
        <v>12</v>
      </c>
      <c r="H29" s="749" t="str">
        <f t="shared" si="2"/>
        <v>OK</v>
      </c>
      <c r="J29" s="750" t="s">
        <v>812</v>
      </c>
      <c r="M29" s="733" t="s">
        <v>146</v>
      </c>
      <c r="N29" s="49" t="b">
        <f t="shared" si="0"/>
        <v>1</v>
      </c>
      <c r="P29" s="49" t="s">
        <v>146</v>
      </c>
      <c r="Q29" s="721" t="s">
        <v>146</v>
      </c>
      <c r="R29" s="733" t="s">
        <v>893</v>
      </c>
      <c r="S29" s="723">
        <v>12</v>
      </c>
      <c r="T29" s="724" t="s">
        <v>1175</v>
      </c>
    </row>
    <row r="30" spans="1:20" x14ac:dyDescent="0.25">
      <c r="A30" t="s">
        <v>147</v>
      </c>
      <c r="B30" s="101" t="s">
        <v>145</v>
      </c>
      <c r="C30" s="101">
        <f>Poeng!K32</f>
        <v>3</v>
      </c>
      <c r="D30" s="82"/>
      <c r="E30" s="85">
        <f>Poeng!R32</f>
        <v>3</v>
      </c>
      <c r="F30" s="750" t="s">
        <v>1209</v>
      </c>
      <c r="G30" s="678">
        <f t="shared" si="4"/>
        <v>3</v>
      </c>
      <c r="H30" s="749" t="str">
        <f t="shared" si="2"/>
        <v>OK</v>
      </c>
      <c r="I30" s="750" t="str">
        <f>IF(S30="-",Q31,IF(S30&gt;0,Q30,Q31))</f>
        <v>Ene 02a</v>
      </c>
      <c r="J30" s="49" t="s">
        <v>1236</v>
      </c>
      <c r="M30" s="733" t="s">
        <v>272</v>
      </c>
      <c r="N30" s="49" t="b">
        <f t="shared" si="0"/>
        <v>1</v>
      </c>
      <c r="P30" s="49" t="s">
        <v>147</v>
      </c>
      <c r="Q30" s="721" t="s">
        <v>272</v>
      </c>
      <c r="R30" s="733" t="s">
        <v>894</v>
      </c>
      <c r="S30" s="723">
        <v>3</v>
      </c>
      <c r="T30" s="724" t="s">
        <v>1175</v>
      </c>
    </row>
    <row r="31" spans="1:20" x14ac:dyDescent="0.25">
      <c r="A31" t="s">
        <v>148</v>
      </c>
      <c r="B31" s="83" t="s">
        <v>137</v>
      </c>
      <c r="C31" s="83">
        <f>Poeng!K33</f>
        <v>1</v>
      </c>
      <c r="D31" s="82"/>
      <c r="E31" s="85">
        <f>Poeng!R33</f>
        <v>1</v>
      </c>
      <c r="G31" s="678">
        <f t="shared" si="4"/>
        <v>1</v>
      </c>
      <c r="H31" s="749" t="str">
        <f t="shared" si="2"/>
        <v>OK</v>
      </c>
      <c r="M31" s="733" t="s">
        <v>1185</v>
      </c>
      <c r="N31" s="49" t="b">
        <f t="shared" si="0"/>
        <v>1</v>
      </c>
      <c r="P31" s="49" t="s">
        <v>147</v>
      </c>
      <c r="Q31" s="721" t="s">
        <v>1185</v>
      </c>
      <c r="R31" s="733" t="s">
        <v>894</v>
      </c>
      <c r="S31" s="723" t="s">
        <v>254</v>
      </c>
      <c r="T31" s="724" t="s">
        <v>1182</v>
      </c>
    </row>
    <row r="32" spans="1:20" x14ac:dyDescent="0.25">
      <c r="A32" t="s">
        <v>149</v>
      </c>
      <c r="B32" s="83" t="s">
        <v>138</v>
      </c>
      <c r="C32" s="83">
        <f>Poeng!K34</f>
        <v>2</v>
      </c>
      <c r="D32" s="82"/>
      <c r="E32" s="85">
        <f>Poeng!R34</f>
        <v>2</v>
      </c>
      <c r="G32" s="678">
        <f t="shared" si="4"/>
        <v>3</v>
      </c>
      <c r="H32" s="749" t="str">
        <f t="shared" si="2"/>
        <v>FEIL</v>
      </c>
      <c r="M32" s="733" t="s">
        <v>148</v>
      </c>
      <c r="N32" s="49" t="b">
        <f t="shared" si="0"/>
        <v>1</v>
      </c>
      <c r="P32" s="49" t="s">
        <v>148</v>
      </c>
      <c r="Q32" s="721" t="s">
        <v>148</v>
      </c>
      <c r="R32" s="733" t="s">
        <v>1186</v>
      </c>
      <c r="S32" s="723">
        <v>1</v>
      </c>
      <c r="T32" s="724" t="s">
        <v>1175</v>
      </c>
    </row>
    <row r="33" spans="1:20" x14ac:dyDescent="0.25">
      <c r="A33" t="s">
        <v>150</v>
      </c>
      <c r="B33" s="101" t="s">
        <v>139</v>
      </c>
      <c r="C33" s="101">
        <f>Poeng!K35</f>
        <v>3</v>
      </c>
      <c r="D33" s="82"/>
      <c r="E33" s="85">
        <f>Poeng!R35</f>
        <v>0</v>
      </c>
      <c r="G33" s="678">
        <f t="shared" si="4"/>
        <v>0</v>
      </c>
      <c r="H33" s="749" t="str">
        <f t="shared" si="2"/>
        <v>OK</v>
      </c>
      <c r="M33" s="733" t="s">
        <v>149</v>
      </c>
      <c r="N33" s="49" t="b">
        <f t="shared" si="0"/>
        <v>1</v>
      </c>
      <c r="P33" s="49" t="s">
        <v>149</v>
      </c>
      <c r="Q33" s="721" t="s">
        <v>149</v>
      </c>
      <c r="R33" s="733" t="s">
        <v>896</v>
      </c>
      <c r="S33" s="723">
        <v>3</v>
      </c>
      <c r="T33" s="724" t="s">
        <v>1175</v>
      </c>
    </row>
    <row r="34" spans="1:20" x14ac:dyDescent="0.25">
      <c r="A34" t="s">
        <v>151</v>
      </c>
      <c r="B34" s="101" t="s">
        <v>140</v>
      </c>
      <c r="C34" s="101">
        <f>Poeng!K36</f>
        <v>2</v>
      </c>
      <c r="D34" s="82"/>
      <c r="E34" s="85">
        <f>Poeng!R36</f>
        <v>0</v>
      </c>
      <c r="G34" s="678">
        <f t="shared" si="4"/>
        <v>2</v>
      </c>
      <c r="H34" s="749" t="str">
        <f t="shared" si="2"/>
        <v>FEIL</v>
      </c>
      <c r="M34" s="733" t="s">
        <v>150</v>
      </c>
      <c r="N34" s="49" t="b">
        <f t="shared" si="0"/>
        <v>1</v>
      </c>
      <c r="P34" s="49" t="s">
        <v>150</v>
      </c>
      <c r="Q34" s="721" t="s">
        <v>150</v>
      </c>
      <c r="R34" s="733" t="s">
        <v>897</v>
      </c>
      <c r="S34" s="725" t="s">
        <v>254</v>
      </c>
      <c r="T34" s="726" t="s">
        <v>1182</v>
      </c>
    </row>
    <row r="35" spans="1:20" x14ac:dyDescent="0.25">
      <c r="A35" t="s">
        <v>152</v>
      </c>
      <c r="B35" s="101" t="s">
        <v>141</v>
      </c>
      <c r="C35" s="101">
        <f>Poeng!K37</f>
        <v>5</v>
      </c>
      <c r="D35" s="82"/>
      <c r="E35" s="85">
        <f>Poeng!R37</f>
        <v>0</v>
      </c>
      <c r="G35" s="678">
        <f t="shared" si="4"/>
        <v>0</v>
      </c>
      <c r="H35" s="749" t="str">
        <f t="shared" si="2"/>
        <v>OK</v>
      </c>
      <c r="M35" s="733" t="s">
        <v>151</v>
      </c>
      <c r="N35" s="49" t="b">
        <f t="shared" si="0"/>
        <v>1</v>
      </c>
      <c r="P35" s="49" t="s">
        <v>151</v>
      </c>
      <c r="Q35" s="721" t="s">
        <v>151</v>
      </c>
      <c r="R35" s="733" t="s">
        <v>898</v>
      </c>
      <c r="S35" s="723">
        <v>2</v>
      </c>
      <c r="T35" s="724" t="s">
        <v>1175</v>
      </c>
    </row>
    <row r="36" spans="1:20" x14ac:dyDescent="0.25">
      <c r="A36" t="s">
        <v>153</v>
      </c>
      <c r="B36" s="83" t="s">
        <v>142</v>
      </c>
      <c r="C36" s="83">
        <f>Poeng!K38</f>
        <v>2</v>
      </c>
      <c r="D36" s="82"/>
      <c r="E36" s="85">
        <f>Poeng!R38</f>
        <v>2</v>
      </c>
      <c r="G36" s="678">
        <f t="shared" si="4"/>
        <v>2</v>
      </c>
      <c r="H36" s="749" t="str">
        <f t="shared" si="2"/>
        <v>OK</v>
      </c>
      <c r="M36" s="733" t="s">
        <v>152</v>
      </c>
      <c r="N36" s="49" t="b">
        <f t="shared" si="0"/>
        <v>1</v>
      </c>
      <c r="P36" s="49" t="s">
        <v>152</v>
      </c>
      <c r="Q36" s="721" t="s">
        <v>152</v>
      </c>
      <c r="R36" s="733" t="s">
        <v>1187</v>
      </c>
      <c r="S36" s="723" t="s">
        <v>254</v>
      </c>
      <c r="T36" s="724" t="s">
        <v>1182</v>
      </c>
    </row>
    <row r="37" spans="1:20" x14ac:dyDescent="0.25">
      <c r="A37" t="s">
        <v>154</v>
      </c>
      <c r="B37" s="83" t="s">
        <v>143</v>
      </c>
      <c r="C37" s="83">
        <f>Poeng!K39</f>
        <v>0</v>
      </c>
      <c r="D37" s="82"/>
      <c r="E37" s="85">
        <f>Poeng!R39</f>
        <v>0</v>
      </c>
      <c r="G37" s="678">
        <f t="shared" si="4"/>
        <v>0</v>
      </c>
      <c r="H37" s="749" t="str">
        <f t="shared" si="2"/>
        <v>OK</v>
      </c>
      <c r="M37" s="733" t="s">
        <v>153</v>
      </c>
      <c r="N37" s="49" t="b">
        <f t="shared" si="0"/>
        <v>1</v>
      </c>
      <c r="P37" s="49" t="s">
        <v>153</v>
      </c>
      <c r="Q37" s="721" t="s">
        <v>153</v>
      </c>
      <c r="R37" s="733" t="s">
        <v>900</v>
      </c>
      <c r="S37" s="723">
        <v>2</v>
      </c>
      <c r="T37" s="724" t="s">
        <v>1175</v>
      </c>
    </row>
    <row r="38" spans="1:20" ht="15.75" thickBot="1" x14ac:dyDescent="0.3">
      <c r="A38" t="s">
        <v>155</v>
      </c>
      <c r="B38" s="83" t="s">
        <v>144</v>
      </c>
      <c r="C38" s="83">
        <f>Poeng!K40</f>
        <v>2</v>
      </c>
      <c r="D38" s="82"/>
      <c r="E38" s="85">
        <f>Poeng!R40</f>
        <v>2</v>
      </c>
      <c r="G38" s="678">
        <f t="shared" si="4"/>
        <v>2</v>
      </c>
      <c r="H38" s="749" t="str">
        <f t="shared" si="2"/>
        <v>OK</v>
      </c>
      <c r="M38" s="733" t="s">
        <v>154</v>
      </c>
      <c r="N38" s="49" t="b">
        <f t="shared" si="0"/>
        <v>1</v>
      </c>
      <c r="P38" s="49" t="s">
        <v>154</v>
      </c>
      <c r="Q38" s="721" t="s">
        <v>154</v>
      </c>
      <c r="R38" s="733" t="s">
        <v>901</v>
      </c>
      <c r="S38" s="723" t="s">
        <v>254</v>
      </c>
      <c r="T38" s="724" t="s">
        <v>1182</v>
      </c>
    </row>
    <row r="39" spans="1:20" ht="15.75" thickBot="1" x14ac:dyDescent="0.3">
      <c r="B39" s="89" t="s">
        <v>231</v>
      </c>
      <c r="C39" s="89">
        <f>Poeng!K41</f>
        <v>32</v>
      </c>
      <c r="D39" s="89"/>
      <c r="E39" s="89">
        <f>SUM(E29:E38)</f>
        <v>22</v>
      </c>
      <c r="G39" s="89">
        <f>SUM(G29:G38)</f>
        <v>25</v>
      </c>
      <c r="H39" s="749" t="str">
        <f t="shared" si="2"/>
        <v>FEIL</v>
      </c>
      <c r="M39" s="746" t="s">
        <v>155</v>
      </c>
      <c r="N39" s="49" t="b">
        <f t="shared" si="0"/>
        <v>1</v>
      </c>
      <c r="P39" s="49" t="s">
        <v>155</v>
      </c>
      <c r="Q39" s="735" t="s">
        <v>155</v>
      </c>
      <c r="R39" s="733" t="s">
        <v>1188</v>
      </c>
      <c r="S39" s="723">
        <v>2</v>
      </c>
      <c r="T39" s="724" t="s">
        <v>1175</v>
      </c>
    </row>
    <row r="40" spans="1:20" ht="15.75" thickBot="1" x14ac:dyDescent="0.3">
      <c r="B40" s="49"/>
      <c r="C40" s="49"/>
      <c r="D40" s="49"/>
      <c r="G40" s="49"/>
      <c r="H40" s="749" t="str">
        <f t="shared" si="2"/>
        <v>OK</v>
      </c>
      <c r="M40" s="728"/>
      <c r="N40" s="49" t="b">
        <f t="shared" si="0"/>
        <v>1</v>
      </c>
      <c r="P40" s="49"/>
      <c r="Q40" s="727"/>
      <c r="R40" s="728"/>
      <c r="S40" s="728"/>
      <c r="T40" s="729"/>
    </row>
    <row r="41" spans="1:20" ht="15.75" thickBot="1" x14ac:dyDescent="0.3">
      <c r="B41" s="86" t="s">
        <v>71</v>
      </c>
      <c r="C41" s="86"/>
      <c r="D41" s="86"/>
      <c r="E41" s="86"/>
      <c r="G41" s="678">
        <f t="shared" ref="G41:G47" si="5">SUMIF($P$7:$P$91,A41,$S$7:$S$91)</f>
        <v>0</v>
      </c>
      <c r="H41" s="749" t="str">
        <f t="shared" si="2"/>
        <v>OK</v>
      </c>
      <c r="M41" s="742" t="s">
        <v>1189</v>
      </c>
      <c r="N41" s="49" t="b">
        <f t="shared" si="0"/>
        <v>1</v>
      </c>
      <c r="P41" s="49"/>
      <c r="Q41" s="730" t="s">
        <v>1189</v>
      </c>
      <c r="R41" s="728"/>
      <c r="S41" s="728"/>
      <c r="T41" s="729"/>
    </row>
    <row r="42" spans="1:20" x14ac:dyDescent="0.25">
      <c r="A42" t="s">
        <v>161</v>
      </c>
      <c r="B42" s="100" t="s">
        <v>156</v>
      </c>
      <c r="C42" s="100">
        <f>Poeng!K44</f>
        <v>3</v>
      </c>
      <c r="D42" s="84"/>
      <c r="E42" s="85">
        <f>Poeng!R44</f>
        <v>3</v>
      </c>
      <c r="F42" s="750" t="s">
        <v>1240</v>
      </c>
      <c r="G42" s="678">
        <f t="shared" si="5"/>
        <v>5</v>
      </c>
      <c r="H42" s="749" t="str">
        <f t="shared" si="2"/>
        <v>FEIL</v>
      </c>
      <c r="M42" s="733" t="s">
        <v>161</v>
      </c>
      <c r="N42" s="49" t="b">
        <f t="shared" si="0"/>
        <v>1</v>
      </c>
      <c r="P42" s="49" t="s">
        <v>161</v>
      </c>
      <c r="Q42" s="721" t="s">
        <v>161</v>
      </c>
      <c r="R42" s="733" t="s">
        <v>903</v>
      </c>
      <c r="S42" s="723">
        <v>5</v>
      </c>
      <c r="T42" s="724" t="s">
        <v>1175</v>
      </c>
    </row>
    <row r="43" spans="1:20" x14ac:dyDescent="0.25">
      <c r="A43" t="s">
        <v>162</v>
      </c>
      <c r="B43" s="101" t="s">
        <v>157</v>
      </c>
      <c r="C43" s="101">
        <f>Poeng!K45</f>
        <v>1</v>
      </c>
      <c r="D43" s="82"/>
      <c r="E43" s="85">
        <f>Poeng!R45</f>
        <v>1</v>
      </c>
      <c r="F43" t="s">
        <v>1241</v>
      </c>
      <c r="G43" s="678">
        <f t="shared" si="5"/>
        <v>1</v>
      </c>
      <c r="H43" s="749" t="str">
        <f t="shared" si="2"/>
        <v>OK</v>
      </c>
      <c r="M43" s="733" t="s">
        <v>162</v>
      </c>
      <c r="N43" s="49" t="b">
        <f t="shared" si="0"/>
        <v>1</v>
      </c>
      <c r="P43" s="49" t="s">
        <v>162</v>
      </c>
      <c r="Q43" s="721" t="s">
        <v>162</v>
      </c>
      <c r="R43" s="733" t="s">
        <v>904</v>
      </c>
      <c r="S43" s="723">
        <v>1</v>
      </c>
      <c r="T43" s="724" t="s">
        <v>1175</v>
      </c>
    </row>
    <row r="44" spans="1:20" x14ac:dyDescent="0.25">
      <c r="A44" t="s">
        <v>163</v>
      </c>
      <c r="B44" s="101" t="s">
        <v>159</v>
      </c>
      <c r="C44" s="101">
        <f>Poeng!K46</f>
        <v>2</v>
      </c>
      <c r="D44" s="82"/>
      <c r="E44" s="85">
        <f>Poeng!R46</f>
        <v>2</v>
      </c>
      <c r="F44" s="750" t="s">
        <v>1209</v>
      </c>
      <c r="G44" s="678">
        <f t="shared" si="5"/>
        <v>2</v>
      </c>
      <c r="H44" s="749" t="str">
        <f t="shared" si="2"/>
        <v>OK</v>
      </c>
      <c r="I44" s="750" t="str">
        <f>IF(S44="-",Q45,IF(S44&gt;0,Q44,Q45))</f>
        <v>Tra 03b</v>
      </c>
      <c r="J44" s="49" t="s">
        <v>1236</v>
      </c>
      <c r="M44" s="733" t="s">
        <v>1190</v>
      </c>
      <c r="N44" s="49" t="b">
        <f t="shared" si="0"/>
        <v>1</v>
      </c>
      <c r="P44" s="49" t="s">
        <v>163</v>
      </c>
      <c r="Q44" s="721" t="s">
        <v>1190</v>
      </c>
      <c r="R44" s="733" t="s">
        <v>905</v>
      </c>
      <c r="S44" s="723"/>
      <c r="T44" s="724" t="s">
        <v>1175</v>
      </c>
    </row>
    <row r="45" spans="1:20" x14ac:dyDescent="0.25">
      <c r="A45" t="s">
        <v>164</v>
      </c>
      <c r="B45" s="101" t="s">
        <v>158</v>
      </c>
      <c r="C45" s="101">
        <f>Poeng!K47</f>
        <v>2</v>
      </c>
      <c r="D45" s="82"/>
      <c r="E45" s="85">
        <f>Poeng!R47</f>
        <v>2</v>
      </c>
      <c r="F45" s="750" t="s">
        <v>1240</v>
      </c>
      <c r="G45" s="678">
        <f t="shared" si="5"/>
        <v>2</v>
      </c>
      <c r="H45" s="749" t="str">
        <f t="shared" si="2"/>
        <v>OK</v>
      </c>
      <c r="M45" s="733" t="s">
        <v>1191</v>
      </c>
      <c r="N45" s="49" t="b">
        <f t="shared" si="0"/>
        <v>1</v>
      </c>
      <c r="P45" s="49" t="s">
        <v>163</v>
      </c>
      <c r="Q45" s="721" t="s">
        <v>1191</v>
      </c>
      <c r="R45" s="733" t="s">
        <v>905</v>
      </c>
      <c r="S45" s="723">
        <v>2</v>
      </c>
      <c r="T45" s="724" t="s">
        <v>1182</v>
      </c>
    </row>
    <row r="46" spans="1:20" x14ac:dyDescent="0.25">
      <c r="A46" t="s">
        <v>165</v>
      </c>
      <c r="B46" s="101" t="s">
        <v>160</v>
      </c>
      <c r="C46" s="101">
        <f>Poeng!K48</f>
        <v>1</v>
      </c>
      <c r="D46" s="82"/>
      <c r="E46" s="85">
        <f>Poeng!R48</f>
        <v>1</v>
      </c>
      <c r="G46" s="678">
        <f t="shared" si="5"/>
        <v>1</v>
      </c>
      <c r="H46" s="749" t="str">
        <f t="shared" si="2"/>
        <v>OK</v>
      </c>
      <c r="M46" s="733" t="s">
        <v>164</v>
      </c>
      <c r="N46" s="49" t="b">
        <f t="shared" si="0"/>
        <v>1</v>
      </c>
      <c r="P46" s="49" t="s">
        <v>164</v>
      </c>
      <c r="Q46" s="721" t="s">
        <v>164</v>
      </c>
      <c r="R46" s="733" t="s">
        <v>906</v>
      </c>
      <c r="S46" s="723">
        <v>2</v>
      </c>
      <c r="T46" s="724" t="s">
        <v>1175</v>
      </c>
    </row>
    <row r="47" spans="1:20" s="49" customFormat="1" ht="15.75" thickBot="1" x14ac:dyDescent="0.3">
      <c r="A47" s="49" t="s">
        <v>847</v>
      </c>
      <c r="B47" s="607" t="s">
        <v>848</v>
      </c>
      <c r="C47" s="607">
        <f>Poeng!K49</f>
        <v>0</v>
      </c>
      <c r="D47" s="103"/>
      <c r="E47" s="85">
        <f>Poeng!R49</f>
        <v>0</v>
      </c>
      <c r="G47" s="678">
        <f t="shared" si="5"/>
        <v>0</v>
      </c>
      <c r="H47" s="749" t="str">
        <f t="shared" si="2"/>
        <v>OK</v>
      </c>
      <c r="M47" s="733" t="s">
        <v>165</v>
      </c>
      <c r="N47" s="49" t="b">
        <f t="shared" si="0"/>
        <v>1</v>
      </c>
      <c r="P47" s="49" t="s">
        <v>165</v>
      </c>
      <c r="Q47" s="721" t="s">
        <v>165</v>
      </c>
      <c r="R47" s="733" t="s">
        <v>907</v>
      </c>
      <c r="S47" s="723">
        <v>1</v>
      </c>
      <c r="T47" s="724" t="s">
        <v>1175</v>
      </c>
    </row>
    <row r="48" spans="1:20" ht="15.75" thickBot="1" x14ac:dyDescent="0.3">
      <c r="B48" s="89" t="s">
        <v>231</v>
      </c>
      <c r="C48" s="89">
        <f>Poeng!K50</f>
        <v>9</v>
      </c>
      <c r="D48" s="89"/>
      <c r="E48" s="89">
        <f>SUM(E42:E47)</f>
        <v>9</v>
      </c>
      <c r="G48" s="89">
        <f>SUM(G42:G47)</f>
        <v>11</v>
      </c>
      <c r="H48" s="749" t="str">
        <f t="shared" si="2"/>
        <v>FEIL</v>
      </c>
      <c r="M48" s="733" t="s">
        <v>847</v>
      </c>
      <c r="N48" s="49" t="b">
        <f t="shared" si="0"/>
        <v>1</v>
      </c>
      <c r="P48" s="49" t="s">
        <v>847</v>
      </c>
      <c r="Q48" s="721" t="s">
        <v>847</v>
      </c>
      <c r="R48" s="733" t="s">
        <v>908</v>
      </c>
      <c r="S48" s="723" t="s">
        <v>254</v>
      </c>
      <c r="T48" s="724" t="s">
        <v>1182</v>
      </c>
    </row>
    <row r="49" spans="1:20" ht="15.75" thickBot="1" x14ac:dyDescent="0.3">
      <c r="B49" s="49"/>
      <c r="C49" s="49"/>
      <c r="D49" s="49"/>
      <c r="G49" s="49"/>
      <c r="H49" s="749" t="str">
        <f t="shared" si="2"/>
        <v>OK</v>
      </c>
      <c r="M49" s="728"/>
      <c r="N49" s="49" t="b">
        <f t="shared" si="0"/>
        <v>1</v>
      </c>
      <c r="P49" s="49"/>
      <c r="Q49" s="727"/>
      <c r="R49" s="728"/>
      <c r="S49" s="728"/>
      <c r="T49" s="729"/>
    </row>
    <row r="50" spans="1:20" ht="15.75" thickBot="1" x14ac:dyDescent="0.3">
      <c r="B50" s="86" t="s">
        <v>63</v>
      </c>
      <c r="C50" s="86"/>
      <c r="D50" s="86"/>
      <c r="E50" s="86"/>
      <c r="G50" s="678">
        <f>SUMIF($P$7:$P$91,A50,$S$7:$S$91)</f>
        <v>0</v>
      </c>
      <c r="H50" s="749" t="str">
        <f t="shared" si="2"/>
        <v>OK</v>
      </c>
      <c r="M50" s="742" t="s">
        <v>1192</v>
      </c>
      <c r="N50" s="49" t="b">
        <f t="shared" si="0"/>
        <v>1</v>
      </c>
      <c r="P50" s="49"/>
      <c r="Q50" s="730" t="s">
        <v>1192</v>
      </c>
      <c r="R50" s="728"/>
      <c r="S50" s="728"/>
      <c r="T50" s="729"/>
    </row>
    <row r="51" spans="1:20" x14ac:dyDescent="0.25">
      <c r="A51" t="s">
        <v>185</v>
      </c>
      <c r="B51" s="85" t="s">
        <v>166</v>
      </c>
      <c r="C51" s="85">
        <f>Poeng!K53</f>
        <v>5</v>
      </c>
      <c r="D51" s="84"/>
      <c r="E51" s="85">
        <f>Poeng!R53</f>
        <v>5</v>
      </c>
      <c r="F51" s="49"/>
      <c r="G51" s="678">
        <f>SUMIF($P$7:$P$91,A51,$S$7:$S$91)</f>
        <v>5</v>
      </c>
      <c r="H51" s="749" t="str">
        <f t="shared" si="2"/>
        <v>OK</v>
      </c>
      <c r="M51" s="733" t="s">
        <v>185</v>
      </c>
      <c r="N51" s="49" t="b">
        <f t="shared" si="0"/>
        <v>1</v>
      </c>
      <c r="P51" s="49" t="s">
        <v>185</v>
      </c>
      <c r="Q51" s="721" t="s">
        <v>185</v>
      </c>
      <c r="R51" s="733" t="s">
        <v>909</v>
      </c>
      <c r="S51" s="723">
        <v>5</v>
      </c>
      <c r="T51" s="724" t="s">
        <v>1175</v>
      </c>
    </row>
    <row r="52" spans="1:20" x14ac:dyDescent="0.25">
      <c r="A52" t="s">
        <v>186</v>
      </c>
      <c r="B52" s="83" t="s">
        <v>167</v>
      </c>
      <c r="C52" s="83">
        <f>Poeng!K54</f>
        <v>1</v>
      </c>
      <c r="D52" s="82"/>
      <c r="E52" s="85">
        <f>Poeng!R54</f>
        <v>1</v>
      </c>
      <c r="G52" s="678">
        <f>SUMIF($P$7:$P$91,A52,$S$7:$S$91)</f>
        <v>1</v>
      </c>
      <c r="H52" s="749" t="str">
        <f t="shared" si="2"/>
        <v>OK</v>
      </c>
      <c r="M52" s="733" t="s">
        <v>186</v>
      </c>
      <c r="N52" s="49" t="b">
        <f t="shared" si="0"/>
        <v>1</v>
      </c>
      <c r="P52" s="49" t="s">
        <v>186</v>
      </c>
      <c r="Q52" s="721" t="s">
        <v>186</v>
      </c>
      <c r="R52" s="733" t="s">
        <v>910</v>
      </c>
      <c r="S52" s="723">
        <v>1</v>
      </c>
      <c r="T52" s="724" t="s">
        <v>1175</v>
      </c>
    </row>
    <row r="53" spans="1:20" x14ac:dyDescent="0.25">
      <c r="A53" t="s">
        <v>187</v>
      </c>
      <c r="B53" s="83" t="s">
        <v>168</v>
      </c>
      <c r="C53" s="83">
        <f>Poeng!K55</f>
        <v>2</v>
      </c>
      <c r="D53" s="82"/>
      <c r="E53" s="85">
        <f>Poeng!R55</f>
        <v>2</v>
      </c>
      <c r="G53" s="678">
        <f>SUMIF($P$7:$P$91,A53,$S$7:$S$91)</f>
        <v>2</v>
      </c>
      <c r="H53" s="749" t="str">
        <f t="shared" si="2"/>
        <v>OK</v>
      </c>
      <c r="M53" s="733" t="s">
        <v>187</v>
      </c>
      <c r="N53" s="49" t="b">
        <f t="shared" si="0"/>
        <v>1</v>
      </c>
      <c r="P53" s="49" t="s">
        <v>187</v>
      </c>
      <c r="Q53" s="721" t="s">
        <v>187</v>
      </c>
      <c r="R53" s="733" t="s">
        <v>911</v>
      </c>
      <c r="S53" s="723">
        <v>2</v>
      </c>
      <c r="T53" s="724" t="s">
        <v>1175</v>
      </c>
    </row>
    <row r="54" spans="1:20" ht="15.75" thickBot="1" x14ac:dyDescent="0.3">
      <c r="A54" t="s">
        <v>188</v>
      </c>
      <c r="B54" s="101" t="s">
        <v>169</v>
      </c>
      <c r="C54" s="101">
        <f>Poeng!K56</f>
        <v>1</v>
      </c>
      <c r="D54" s="82"/>
      <c r="E54" s="85">
        <f>Poeng!R56</f>
        <v>0</v>
      </c>
      <c r="G54" s="678">
        <f>SUMIF($P$7:$P$91,A54,$S$7:$S$91)</f>
        <v>0</v>
      </c>
      <c r="H54" s="749" t="str">
        <f t="shared" si="2"/>
        <v>OK</v>
      </c>
      <c r="M54" s="733" t="s">
        <v>188</v>
      </c>
      <c r="N54" s="49" t="b">
        <f t="shared" si="0"/>
        <v>1</v>
      </c>
      <c r="P54" s="49" t="s">
        <v>188</v>
      </c>
      <c r="Q54" s="721" t="s">
        <v>188</v>
      </c>
      <c r="R54" s="733" t="s">
        <v>912</v>
      </c>
      <c r="S54" s="723" t="s">
        <v>254</v>
      </c>
      <c r="T54" s="724" t="s">
        <v>1182</v>
      </c>
    </row>
    <row r="55" spans="1:20" ht="15.75" thickBot="1" x14ac:dyDescent="0.3">
      <c r="B55" s="89" t="s">
        <v>231</v>
      </c>
      <c r="C55" s="89">
        <f>Poeng!K57</f>
        <v>9</v>
      </c>
      <c r="D55" s="89"/>
      <c r="E55" s="89">
        <f>SUM(E51:E54)</f>
        <v>8</v>
      </c>
      <c r="G55" s="89">
        <f>SUM(G51:G54)</f>
        <v>8</v>
      </c>
      <c r="H55" s="749" t="str">
        <f t="shared" si="2"/>
        <v>OK</v>
      </c>
      <c r="M55" s="728"/>
      <c r="N55" s="49" t="b">
        <f t="shared" si="0"/>
        <v>1</v>
      </c>
      <c r="P55" s="49"/>
      <c r="Q55" s="727"/>
      <c r="R55" s="728"/>
      <c r="S55" s="728"/>
      <c r="T55" s="729"/>
    </row>
    <row r="56" spans="1:20" ht="15.75" thickBot="1" x14ac:dyDescent="0.3">
      <c r="B56" s="49"/>
      <c r="C56" s="49"/>
      <c r="D56" s="49"/>
      <c r="G56" s="49"/>
      <c r="H56" s="749" t="str">
        <f t="shared" si="2"/>
        <v>OK</v>
      </c>
      <c r="M56" s="742" t="s">
        <v>1193</v>
      </c>
      <c r="N56" s="49" t="b">
        <f t="shared" si="0"/>
        <v>1</v>
      </c>
      <c r="P56" s="49"/>
      <c r="Q56" s="730" t="s">
        <v>1193</v>
      </c>
      <c r="R56" s="728"/>
      <c r="S56" s="728"/>
      <c r="T56" s="729"/>
    </row>
    <row r="57" spans="1:20" ht="15.75" thickBot="1" x14ac:dyDescent="0.3">
      <c r="B57" s="86" t="s">
        <v>72</v>
      </c>
      <c r="C57" s="86"/>
      <c r="D57" s="86"/>
      <c r="E57" s="86"/>
      <c r="G57" s="678">
        <f>SUMIF($P$7:$P$91,A57,$S$7:$S$91)</f>
        <v>0</v>
      </c>
      <c r="H57" s="749" t="str">
        <f t="shared" si="2"/>
        <v>OK</v>
      </c>
      <c r="M57" s="733" t="s">
        <v>189</v>
      </c>
      <c r="N57" s="49" t="b">
        <f t="shared" si="0"/>
        <v>1</v>
      </c>
      <c r="P57" s="49" t="s">
        <v>189</v>
      </c>
      <c r="Q57" s="721" t="s">
        <v>189</v>
      </c>
      <c r="R57" s="733" t="s">
        <v>913</v>
      </c>
      <c r="S57" s="723">
        <v>7</v>
      </c>
      <c r="T57" s="724" t="s">
        <v>1175</v>
      </c>
    </row>
    <row r="58" spans="1:20" x14ac:dyDescent="0.25">
      <c r="A58" t="s">
        <v>189</v>
      </c>
      <c r="B58" s="85" t="s">
        <v>170</v>
      </c>
      <c r="C58" s="85">
        <f>Poeng!K60</f>
        <v>7</v>
      </c>
      <c r="D58" s="84"/>
      <c r="E58" s="85">
        <f>Poeng!R60</f>
        <v>7</v>
      </c>
      <c r="F58" s="49"/>
      <c r="G58" s="678">
        <f>SUMIF($P$7:$P$91,A58,$S$7:$S$91)</f>
        <v>7</v>
      </c>
      <c r="H58" s="749" t="str">
        <f t="shared" si="2"/>
        <v>OK</v>
      </c>
      <c r="M58" s="733" t="s">
        <v>190</v>
      </c>
      <c r="N58" s="49" t="b">
        <f t="shared" si="0"/>
        <v>1</v>
      </c>
      <c r="P58" s="49" t="s">
        <v>190</v>
      </c>
      <c r="Q58" s="721" t="s">
        <v>190</v>
      </c>
      <c r="R58" s="733" t="s">
        <v>1194</v>
      </c>
      <c r="S58" s="723">
        <v>3</v>
      </c>
      <c r="T58" s="724" t="s">
        <v>1175</v>
      </c>
    </row>
    <row r="59" spans="1:20" x14ac:dyDescent="0.25">
      <c r="A59" t="s">
        <v>190</v>
      </c>
      <c r="B59" s="83" t="s">
        <v>171</v>
      </c>
      <c r="C59" s="83">
        <f>Poeng!K61</f>
        <v>3</v>
      </c>
      <c r="D59" s="82"/>
      <c r="E59" s="85">
        <f>Poeng!R61</f>
        <v>3</v>
      </c>
      <c r="G59" s="678">
        <f>SUMIF($P$7:$P$91,A59,$S$7:$S$91)</f>
        <v>3</v>
      </c>
      <c r="H59" s="749" t="str">
        <f t="shared" si="2"/>
        <v>OK</v>
      </c>
      <c r="M59" s="733" t="s">
        <v>191</v>
      </c>
      <c r="N59" s="49" t="b">
        <f t="shared" si="0"/>
        <v>1</v>
      </c>
      <c r="P59" s="49" t="s">
        <v>191</v>
      </c>
      <c r="Q59" s="721" t="s">
        <v>191</v>
      </c>
      <c r="R59" s="733" t="s">
        <v>915</v>
      </c>
      <c r="S59" s="723">
        <v>1</v>
      </c>
      <c r="T59" s="724" t="s">
        <v>1175</v>
      </c>
    </row>
    <row r="60" spans="1:20" x14ac:dyDescent="0.25">
      <c r="A60" t="s">
        <v>191</v>
      </c>
      <c r="B60" s="83" t="s">
        <v>172</v>
      </c>
      <c r="C60" s="83">
        <f>Poeng!K62</f>
        <v>1</v>
      </c>
      <c r="D60" s="82"/>
      <c r="E60" s="85">
        <f>Poeng!R62</f>
        <v>1</v>
      </c>
      <c r="G60" s="678">
        <f>SUMIF($P$7:$P$91,A60,$S$7:$S$91)</f>
        <v>1</v>
      </c>
      <c r="H60" s="749" t="str">
        <f t="shared" si="2"/>
        <v>OK</v>
      </c>
      <c r="M60" s="728"/>
      <c r="N60" s="49" t="b">
        <f t="shared" si="0"/>
        <v>1</v>
      </c>
      <c r="P60" s="49"/>
      <c r="Q60" s="727"/>
      <c r="R60" s="728"/>
      <c r="S60" s="728"/>
      <c r="T60" s="729"/>
    </row>
    <row r="61" spans="1:20" ht="15.75" thickBot="1" x14ac:dyDescent="0.3">
      <c r="B61" s="83"/>
      <c r="C61" s="83">
        <f>Poeng!K63</f>
        <v>0</v>
      </c>
      <c r="D61" s="82"/>
      <c r="E61" s="85">
        <f>Poeng!R63</f>
        <v>0</v>
      </c>
      <c r="G61" s="678">
        <f>SUMIF($P$7:$P$91,A61,$S$7:$S$91)</f>
        <v>0</v>
      </c>
      <c r="H61" s="749" t="str">
        <f t="shared" si="2"/>
        <v>OK</v>
      </c>
      <c r="M61" s="742" t="s">
        <v>1195</v>
      </c>
      <c r="N61" s="49" t="b">
        <f t="shared" si="0"/>
        <v>1</v>
      </c>
      <c r="P61" s="49"/>
      <c r="Q61" s="730" t="s">
        <v>1195</v>
      </c>
      <c r="R61" s="728"/>
      <c r="S61" s="728"/>
      <c r="T61" s="729"/>
    </row>
    <row r="62" spans="1:20" ht="15.75" thickBot="1" x14ac:dyDescent="0.3">
      <c r="B62" s="89" t="s">
        <v>231</v>
      </c>
      <c r="C62" s="89">
        <f>Poeng!K64</f>
        <v>11</v>
      </c>
      <c r="D62" s="89"/>
      <c r="E62" s="89">
        <f>SUM(E58:E61)</f>
        <v>11</v>
      </c>
      <c r="G62" s="89">
        <f>SUM(G58:G61)</f>
        <v>11</v>
      </c>
      <c r="H62" s="749" t="str">
        <f t="shared" si="2"/>
        <v>OK</v>
      </c>
      <c r="M62" s="733" t="s">
        <v>193</v>
      </c>
      <c r="N62" s="49" t="b">
        <f t="shared" si="0"/>
        <v>1</v>
      </c>
      <c r="P62" s="49" t="s">
        <v>193</v>
      </c>
      <c r="Q62" s="721" t="s">
        <v>193</v>
      </c>
      <c r="R62" s="733" t="s">
        <v>916</v>
      </c>
      <c r="S62" s="723">
        <v>3</v>
      </c>
      <c r="T62" s="724" t="s">
        <v>1175</v>
      </c>
    </row>
    <row r="63" spans="1:20" ht="15.75" thickBot="1" x14ac:dyDescent="0.3">
      <c r="B63" s="49"/>
      <c r="C63" s="49"/>
      <c r="D63" s="49"/>
      <c r="G63" s="49"/>
      <c r="H63" s="749" t="str">
        <f t="shared" si="2"/>
        <v>OK</v>
      </c>
      <c r="M63" s="733" t="s">
        <v>194</v>
      </c>
      <c r="N63" s="49" t="b">
        <f t="shared" si="0"/>
        <v>1</v>
      </c>
      <c r="P63" s="49" t="s">
        <v>194</v>
      </c>
      <c r="Q63" s="721" t="s">
        <v>194</v>
      </c>
      <c r="R63" s="733" t="s">
        <v>917</v>
      </c>
      <c r="S63" s="723"/>
      <c r="T63" s="724" t="s">
        <v>1175</v>
      </c>
    </row>
    <row r="64" spans="1:20" ht="15.75" thickBot="1" x14ac:dyDescent="0.3">
      <c r="B64" s="86" t="s">
        <v>73</v>
      </c>
      <c r="C64" s="86"/>
      <c r="D64" s="86"/>
      <c r="E64" s="86"/>
      <c r="G64" s="678">
        <f>SUMIF($P$7:$P$91,A64,$S$7:$S$91)</f>
        <v>0</v>
      </c>
      <c r="H64" s="749" t="str">
        <f t="shared" si="2"/>
        <v>OK</v>
      </c>
      <c r="M64" s="733" t="s">
        <v>1196</v>
      </c>
      <c r="N64" s="49" t="b">
        <f t="shared" si="0"/>
        <v>1</v>
      </c>
      <c r="P64" s="49" t="s">
        <v>195</v>
      </c>
      <c r="Q64" s="721" t="s">
        <v>1196</v>
      </c>
      <c r="R64" s="733" t="s">
        <v>918</v>
      </c>
      <c r="S64" s="723">
        <v>1</v>
      </c>
      <c r="T64" s="724" t="s">
        <v>1182</v>
      </c>
    </row>
    <row r="65" spans="1:20" x14ac:dyDescent="0.25">
      <c r="A65" t="s">
        <v>193</v>
      </c>
      <c r="B65" s="85" t="s">
        <v>173</v>
      </c>
      <c r="C65" s="85">
        <f>Poeng!K67</f>
        <v>3</v>
      </c>
      <c r="D65" s="84"/>
      <c r="E65" s="85">
        <f>Poeng!R67</f>
        <v>3</v>
      </c>
      <c r="G65" s="678">
        <f>SUMIF($P$7:$P$91,A65,$S$7:$S$91)</f>
        <v>3</v>
      </c>
      <c r="H65" s="749" t="str">
        <f t="shared" si="2"/>
        <v>OK</v>
      </c>
      <c r="M65" s="733" t="s">
        <v>1197</v>
      </c>
      <c r="N65" s="49" t="b">
        <f t="shared" si="0"/>
        <v>1</v>
      </c>
      <c r="P65" s="49" t="s">
        <v>195</v>
      </c>
      <c r="Q65" s="721" t="s">
        <v>1197</v>
      </c>
      <c r="R65" s="733" t="s">
        <v>918</v>
      </c>
      <c r="S65" s="723"/>
      <c r="T65" s="724" t="s">
        <v>1175</v>
      </c>
    </row>
    <row r="66" spans="1:20" x14ac:dyDescent="0.25">
      <c r="A66" t="s">
        <v>194</v>
      </c>
      <c r="B66" s="83" t="s">
        <v>335</v>
      </c>
      <c r="C66" s="83">
        <f>Poeng!K68</f>
        <v>1</v>
      </c>
      <c r="D66" s="82"/>
      <c r="E66" s="85">
        <f>Poeng!R68</f>
        <v>1</v>
      </c>
      <c r="F66" s="49"/>
      <c r="G66" s="678">
        <f>SUMIF($P$7:$P$91,A66,$S$7:$S$91)</f>
        <v>0</v>
      </c>
      <c r="H66" s="749" t="str">
        <f t="shared" si="2"/>
        <v>FEIL</v>
      </c>
      <c r="M66" s="733" t="s">
        <v>196</v>
      </c>
      <c r="N66" s="49" t="b">
        <f t="shared" si="0"/>
        <v>1</v>
      </c>
      <c r="P66" s="49" t="s">
        <v>196</v>
      </c>
      <c r="Q66" s="721" t="s">
        <v>196</v>
      </c>
      <c r="R66" s="733" t="s">
        <v>1198</v>
      </c>
      <c r="S66" s="723" t="s">
        <v>254</v>
      </c>
      <c r="T66" s="724" t="s">
        <v>1182</v>
      </c>
    </row>
    <row r="67" spans="1:20" x14ac:dyDescent="0.25">
      <c r="A67" t="s">
        <v>195</v>
      </c>
      <c r="B67" s="83" t="s">
        <v>182</v>
      </c>
      <c r="C67" s="83">
        <f>Poeng!K69</f>
        <v>1</v>
      </c>
      <c r="D67" s="82"/>
      <c r="E67" s="85">
        <f>Poeng!R69</f>
        <v>1</v>
      </c>
      <c r="F67" s="750" t="s">
        <v>1209</v>
      </c>
      <c r="G67" s="678">
        <f>SUMIF($P$7:$P$91,A67,$S$7:$S$91)</f>
        <v>1</v>
      </c>
      <c r="H67" s="749" t="str">
        <f t="shared" si="2"/>
        <v>OK</v>
      </c>
      <c r="I67" s="750" t="str">
        <f>IF(S64="-",Q65,IF(S64&gt;0,Q64,Q65))</f>
        <v>Wst 03a</v>
      </c>
      <c r="J67" s="49" t="s">
        <v>1236</v>
      </c>
      <c r="M67" s="728"/>
      <c r="N67" s="49" t="b">
        <f t="shared" si="0"/>
        <v>1</v>
      </c>
      <c r="P67" s="49"/>
      <c r="Q67" s="727"/>
      <c r="R67" s="728"/>
      <c r="S67" s="728"/>
      <c r="T67" s="729"/>
    </row>
    <row r="68" spans="1:20" ht="15.75" thickBot="1" x14ac:dyDescent="0.3">
      <c r="A68" t="s">
        <v>196</v>
      </c>
      <c r="B68" s="83" t="s">
        <v>232</v>
      </c>
      <c r="C68" s="83">
        <f>Poeng!K70</f>
        <v>1</v>
      </c>
      <c r="D68" s="82"/>
      <c r="E68" s="85">
        <f>Poeng!R70</f>
        <v>1</v>
      </c>
      <c r="G68" s="678">
        <f>SUMIF($P$7:$P$91,A68,$S$7:$S$91)</f>
        <v>0</v>
      </c>
      <c r="H68" s="749" t="str">
        <f t="shared" si="2"/>
        <v>FEIL</v>
      </c>
      <c r="M68" s="742" t="s">
        <v>1199</v>
      </c>
      <c r="N68" s="49" t="b">
        <f t="shared" si="0"/>
        <v>1</v>
      </c>
      <c r="P68" s="49"/>
      <c r="Q68" s="730" t="s">
        <v>1199</v>
      </c>
      <c r="R68" s="728"/>
      <c r="S68" s="728"/>
      <c r="T68" s="729"/>
    </row>
    <row r="69" spans="1:20" ht="15.75" thickBot="1" x14ac:dyDescent="0.3">
      <c r="B69" s="89" t="s">
        <v>231</v>
      </c>
      <c r="C69" s="89">
        <f>Poeng!K71</f>
        <v>6</v>
      </c>
      <c r="D69" s="89"/>
      <c r="E69" s="89">
        <f>SUM(E65:E68)</f>
        <v>6</v>
      </c>
      <c r="G69" s="89">
        <f>SUM(G65:G68)</f>
        <v>4</v>
      </c>
      <c r="H69" s="749" t="str">
        <f t="shared" si="2"/>
        <v>FEIL</v>
      </c>
      <c r="M69" s="733" t="s">
        <v>197</v>
      </c>
      <c r="N69" s="49" t="b">
        <f t="shared" si="0"/>
        <v>1</v>
      </c>
      <c r="P69" s="49" t="s">
        <v>197</v>
      </c>
      <c r="Q69" s="721" t="s">
        <v>197</v>
      </c>
      <c r="R69" s="733" t="s">
        <v>920</v>
      </c>
      <c r="S69" s="723">
        <v>3</v>
      </c>
      <c r="T69" s="724" t="s">
        <v>1175</v>
      </c>
    </row>
    <row r="70" spans="1:20" ht="15.75" thickBot="1" x14ac:dyDescent="0.3">
      <c r="B70" s="49"/>
      <c r="C70" s="49"/>
      <c r="D70" s="49"/>
      <c r="G70" s="49"/>
      <c r="H70" s="749" t="str">
        <f t="shared" si="2"/>
        <v>OK</v>
      </c>
      <c r="M70" s="733" t="s">
        <v>198</v>
      </c>
      <c r="N70" s="49" t="b">
        <f t="shared" si="0"/>
        <v>1</v>
      </c>
      <c r="P70" s="49" t="s">
        <v>198</v>
      </c>
      <c r="Q70" s="721" t="s">
        <v>198</v>
      </c>
      <c r="R70" s="733" t="s">
        <v>921</v>
      </c>
      <c r="S70" s="723">
        <v>2</v>
      </c>
      <c r="T70" s="724" t="s">
        <v>1175</v>
      </c>
    </row>
    <row r="71" spans="1:20" ht="15.75" thickBot="1" x14ac:dyDescent="0.3">
      <c r="B71" s="86" t="s">
        <v>244</v>
      </c>
      <c r="C71" s="86"/>
      <c r="D71" s="86"/>
      <c r="E71" s="86"/>
      <c r="G71" s="678">
        <f t="shared" ref="G71:G76" si="6">SUMIF($P$7:$P$91,A71,$S$7:$S$91)</f>
        <v>0</v>
      </c>
      <c r="H71" s="749" t="str">
        <f t="shared" si="2"/>
        <v>OK</v>
      </c>
      <c r="M71" s="733" t="s">
        <v>199</v>
      </c>
      <c r="N71" s="49" t="b">
        <f t="shared" ref="N71:N92" si="7">M71=Q71</f>
        <v>1</v>
      </c>
      <c r="P71" s="49" t="s">
        <v>199</v>
      </c>
      <c r="Q71" s="721" t="s">
        <v>199</v>
      </c>
      <c r="R71" s="733" t="s">
        <v>922</v>
      </c>
      <c r="S71" s="723">
        <v>3</v>
      </c>
      <c r="T71" s="724" t="s">
        <v>1175</v>
      </c>
    </row>
    <row r="72" spans="1:20" x14ac:dyDescent="0.25">
      <c r="A72" t="s">
        <v>197</v>
      </c>
      <c r="B72" s="85" t="s">
        <v>174</v>
      </c>
      <c r="C72" s="85">
        <f>Poeng!K74</f>
        <v>3</v>
      </c>
      <c r="D72" s="84"/>
      <c r="E72" s="85">
        <f>Poeng!R74</f>
        <v>3</v>
      </c>
      <c r="G72" s="678">
        <f t="shared" si="6"/>
        <v>3</v>
      </c>
      <c r="H72" s="749" t="str">
        <f t="shared" ref="H72:H97" si="8">IF(E72=G72,"OK","FEIL")</f>
        <v>OK</v>
      </c>
      <c r="M72" s="733" t="s">
        <v>200</v>
      </c>
      <c r="N72" s="49" t="b">
        <f t="shared" si="7"/>
        <v>1</v>
      </c>
      <c r="P72" s="49" t="s">
        <v>200</v>
      </c>
      <c r="Q72" s="721" t="s">
        <v>200</v>
      </c>
      <c r="R72" s="733" t="s">
        <v>923</v>
      </c>
      <c r="S72" s="723">
        <v>2</v>
      </c>
      <c r="T72" s="724" t="s">
        <v>1175</v>
      </c>
    </row>
    <row r="73" spans="1:20" x14ac:dyDescent="0.25">
      <c r="A73" t="s">
        <v>198</v>
      </c>
      <c r="B73" s="83" t="s">
        <v>175</v>
      </c>
      <c r="C73" s="83">
        <f>Poeng!K75</f>
        <v>2</v>
      </c>
      <c r="D73" s="82"/>
      <c r="E73" s="85">
        <f>Poeng!R75</f>
        <v>2</v>
      </c>
      <c r="G73" s="678">
        <f t="shared" si="6"/>
        <v>2</v>
      </c>
      <c r="H73" s="749" t="str">
        <f t="shared" si="8"/>
        <v>OK</v>
      </c>
      <c r="M73" s="733" t="s">
        <v>201</v>
      </c>
      <c r="N73" s="49" t="b">
        <f t="shared" si="7"/>
        <v>1</v>
      </c>
      <c r="P73" s="49" t="s">
        <v>201</v>
      </c>
      <c r="Q73" s="721" t="s">
        <v>201</v>
      </c>
      <c r="R73" s="733" t="s">
        <v>924</v>
      </c>
      <c r="S73" s="723" t="s">
        <v>254</v>
      </c>
      <c r="T73" s="724" t="s">
        <v>1182</v>
      </c>
    </row>
    <row r="74" spans="1:20" x14ac:dyDescent="0.25">
      <c r="A74" t="s">
        <v>199</v>
      </c>
      <c r="B74" s="83" t="s">
        <v>176</v>
      </c>
      <c r="C74" s="83">
        <f>Poeng!K76</f>
        <v>3</v>
      </c>
      <c r="D74" s="82"/>
      <c r="E74" s="85">
        <f>Poeng!R76</f>
        <v>3</v>
      </c>
      <c r="G74" s="678">
        <f t="shared" si="6"/>
        <v>3</v>
      </c>
      <c r="H74" s="749" t="str">
        <f t="shared" si="8"/>
        <v>OK</v>
      </c>
      <c r="M74" s="728"/>
      <c r="N74" s="49" t="b">
        <f t="shared" si="7"/>
        <v>1</v>
      </c>
      <c r="P74" s="49"/>
      <c r="Q74" s="727"/>
      <c r="R74" s="728"/>
      <c r="S74" s="728"/>
      <c r="T74" s="729"/>
    </row>
    <row r="75" spans="1:20" x14ac:dyDescent="0.25">
      <c r="A75" t="s">
        <v>200</v>
      </c>
      <c r="B75" s="83" t="s">
        <v>177</v>
      </c>
      <c r="C75" s="83">
        <f>Poeng!K77</f>
        <v>2</v>
      </c>
      <c r="D75" s="82"/>
      <c r="E75" s="85">
        <f>Poeng!R77</f>
        <v>2</v>
      </c>
      <c r="G75" s="678">
        <f t="shared" si="6"/>
        <v>2</v>
      </c>
      <c r="H75" s="749" t="str">
        <f t="shared" si="8"/>
        <v>OK</v>
      </c>
      <c r="M75" s="742" t="s">
        <v>1200</v>
      </c>
      <c r="N75" s="49" t="b">
        <f t="shared" si="7"/>
        <v>1</v>
      </c>
      <c r="P75" s="49"/>
      <c r="Q75" s="730" t="s">
        <v>1200</v>
      </c>
      <c r="R75" s="728"/>
      <c r="S75" s="728"/>
      <c r="T75" s="729"/>
    </row>
    <row r="76" spans="1:20" ht="15.75" thickBot="1" x14ac:dyDescent="0.3">
      <c r="A76" t="s">
        <v>201</v>
      </c>
      <c r="B76" s="83" t="s">
        <v>183</v>
      </c>
      <c r="C76" s="83">
        <f>Poeng!K78</f>
        <v>0</v>
      </c>
      <c r="D76" s="82"/>
      <c r="E76" s="85">
        <f>Poeng!R78</f>
        <v>0</v>
      </c>
      <c r="G76" s="678">
        <f t="shared" si="6"/>
        <v>0</v>
      </c>
      <c r="H76" s="749" t="str">
        <f t="shared" si="8"/>
        <v>OK</v>
      </c>
      <c r="M76" s="733" t="s">
        <v>1155</v>
      </c>
      <c r="N76" s="49" t="b">
        <f t="shared" si="7"/>
        <v>1</v>
      </c>
      <c r="P76" s="49" t="s">
        <v>1155</v>
      </c>
      <c r="Q76" s="721" t="s">
        <v>1155</v>
      </c>
      <c r="R76" s="733" t="s">
        <v>1201</v>
      </c>
      <c r="S76" s="723">
        <v>3</v>
      </c>
      <c r="T76" s="724" t="s">
        <v>1175</v>
      </c>
    </row>
    <row r="77" spans="1:20" ht="15.75" thickBot="1" x14ac:dyDescent="0.3">
      <c r="B77" s="89" t="s">
        <v>231</v>
      </c>
      <c r="C77" s="89">
        <f>Poeng!K79</f>
        <v>10</v>
      </c>
      <c r="D77" s="89"/>
      <c r="E77" s="89">
        <f>SUM(E72:E76)</f>
        <v>10</v>
      </c>
      <c r="G77" s="89">
        <f>SUM(G72:G76)</f>
        <v>10</v>
      </c>
      <c r="H77" s="749" t="str">
        <f t="shared" si="8"/>
        <v>OK</v>
      </c>
      <c r="M77" s="733" t="s">
        <v>1156</v>
      </c>
      <c r="N77" s="49" t="b">
        <f t="shared" si="7"/>
        <v>1</v>
      </c>
      <c r="P77" s="49" t="s">
        <v>1156</v>
      </c>
      <c r="Q77" s="721" t="s">
        <v>1156</v>
      </c>
      <c r="R77" s="733" t="s">
        <v>926</v>
      </c>
      <c r="S77" s="723">
        <v>3</v>
      </c>
      <c r="T77" s="724" t="s">
        <v>1175</v>
      </c>
    </row>
    <row r="78" spans="1:20" ht="15.75" thickBot="1" x14ac:dyDescent="0.3">
      <c r="B78" s="49"/>
      <c r="C78" s="49"/>
      <c r="D78" s="49"/>
      <c r="G78" s="49"/>
      <c r="H78" s="749" t="str">
        <f t="shared" si="8"/>
        <v>OK</v>
      </c>
      <c r="M78" s="733" t="s">
        <v>1157</v>
      </c>
      <c r="N78" s="49" t="b">
        <f t="shared" si="7"/>
        <v>1</v>
      </c>
      <c r="P78" s="49" t="s">
        <v>1157</v>
      </c>
      <c r="Q78" s="721" t="s">
        <v>1157</v>
      </c>
      <c r="R78" s="733" t="s">
        <v>1202</v>
      </c>
      <c r="S78" s="723">
        <v>5</v>
      </c>
      <c r="T78" s="724" t="s">
        <v>1175</v>
      </c>
    </row>
    <row r="79" spans="1:20" ht="15.75" thickBot="1" x14ac:dyDescent="0.3">
      <c r="B79" s="86" t="s">
        <v>75</v>
      </c>
      <c r="C79" s="86"/>
      <c r="D79" s="86"/>
      <c r="E79" s="86"/>
      <c r="G79" s="678">
        <f t="shared" ref="G79:G84" si="9">SUMIF($P$7:$P$91,A79,$S$7:$S$91)</f>
        <v>0</v>
      </c>
      <c r="H79" s="749" t="str">
        <f t="shared" si="8"/>
        <v>OK</v>
      </c>
      <c r="M79" s="733" t="s">
        <v>1158</v>
      </c>
      <c r="N79" s="49" t="b">
        <f t="shared" si="7"/>
        <v>1</v>
      </c>
      <c r="P79" s="49" t="s">
        <v>1158</v>
      </c>
      <c r="Q79" s="721" t="s">
        <v>1158</v>
      </c>
      <c r="R79" s="733" t="s">
        <v>1203</v>
      </c>
      <c r="S79" s="723">
        <v>1</v>
      </c>
      <c r="T79" s="724" t="s">
        <v>1175</v>
      </c>
    </row>
    <row r="80" spans="1:20" x14ac:dyDescent="0.25">
      <c r="A80" t="s">
        <v>1155</v>
      </c>
      <c r="B80" s="100" t="s">
        <v>178</v>
      </c>
      <c r="C80" s="100">
        <f>Poeng!K82</f>
        <v>3</v>
      </c>
      <c r="D80" s="84"/>
      <c r="E80" s="85">
        <f>Poeng!R82</f>
        <v>3</v>
      </c>
      <c r="F80" s="49"/>
      <c r="G80" s="678">
        <f t="shared" si="9"/>
        <v>3</v>
      </c>
      <c r="H80" s="749" t="str">
        <f t="shared" si="8"/>
        <v>OK</v>
      </c>
      <c r="M80" s="733" t="s">
        <v>1159</v>
      </c>
      <c r="N80" s="49" t="b">
        <f t="shared" si="7"/>
        <v>1</v>
      </c>
      <c r="P80" s="49" t="s">
        <v>1159</v>
      </c>
      <c r="Q80" s="721" t="s">
        <v>1159</v>
      </c>
      <c r="R80" s="733" t="s">
        <v>1204</v>
      </c>
      <c r="S80" s="723">
        <v>1</v>
      </c>
      <c r="T80" s="724" t="s">
        <v>1175</v>
      </c>
    </row>
    <row r="81" spans="1:20" x14ac:dyDescent="0.25">
      <c r="A81" t="s">
        <v>1156</v>
      </c>
      <c r="B81" s="101" t="s">
        <v>179</v>
      </c>
      <c r="C81" s="101">
        <f>Poeng!K83</f>
        <v>3</v>
      </c>
      <c r="D81" s="82"/>
      <c r="E81" s="85">
        <f>Poeng!R83</f>
        <v>3</v>
      </c>
      <c r="F81" s="49"/>
      <c r="G81" s="678">
        <f t="shared" si="9"/>
        <v>3</v>
      </c>
      <c r="H81" s="749" t="str">
        <f t="shared" si="8"/>
        <v>OK</v>
      </c>
      <c r="M81" s="728"/>
      <c r="N81" s="49" t="b">
        <f t="shared" si="7"/>
        <v>1</v>
      </c>
      <c r="P81" s="49"/>
      <c r="Q81" s="727"/>
      <c r="R81" s="728"/>
      <c r="S81" s="728"/>
      <c r="T81" s="729"/>
    </row>
    <row r="82" spans="1:20" x14ac:dyDescent="0.25">
      <c r="A82" t="s">
        <v>1157</v>
      </c>
      <c r="B82" s="83" t="s">
        <v>180</v>
      </c>
      <c r="C82" s="83">
        <f>Poeng!K84</f>
        <v>5</v>
      </c>
      <c r="D82" s="82"/>
      <c r="E82" s="85">
        <f>Poeng!R84</f>
        <v>5</v>
      </c>
      <c r="G82" s="678">
        <f t="shared" si="9"/>
        <v>5</v>
      </c>
      <c r="H82" s="749" t="str">
        <f t="shared" si="8"/>
        <v>OK</v>
      </c>
      <c r="M82" s="728"/>
      <c r="N82" s="49" t="b">
        <f t="shared" si="7"/>
        <v>1</v>
      </c>
      <c r="P82" s="49"/>
      <c r="Q82" s="727"/>
      <c r="R82" s="728"/>
      <c r="S82" s="728"/>
      <c r="T82" s="729"/>
    </row>
    <row r="83" spans="1:20" x14ac:dyDescent="0.25">
      <c r="A83" t="s">
        <v>1158</v>
      </c>
      <c r="B83" s="83" t="s">
        <v>181</v>
      </c>
      <c r="C83" s="83">
        <f>Poeng!K85</f>
        <v>1</v>
      </c>
      <c r="D83" s="82"/>
      <c r="E83" s="85">
        <f>Poeng!R85</f>
        <v>1</v>
      </c>
      <c r="G83" s="678">
        <f t="shared" si="9"/>
        <v>1</v>
      </c>
      <c r="H83" s="749" t="str">
        <f t="shared" si="8"/>
        <v>OK</v>
      </c>
      <c r="M83" s="747" t="s">
        <v>1205</v>
      </c>
      <c r="N83" s="49" t="b">
        <f t="shared" si="7"/>
        <v>1</v>
      </c>
      <c r="P83" s="49"/>
      <c r="Q83" s="736" t="s">
        <v>1205</v>
      </c>
      <c r="R83" s="728"/>
      <c r="S83" s="728"/>
      <c r="T83" s="729"/>
    </row>
    <row r="84" spans="1:20" ht="15.75" thickBot="1" x14ac:dyDescent="0.3">
      <c r="A84" t="s">
        <v>1159</v>
      </c>
      <c r="B84" s="83" t="s">
        <v>184</v>
      </c>
      <c r="C84" s="83">
        <f>Poeng!K86</f>
        <v>1</v>
      </c>
      <c r="D84" s="82"/>
      <c r="E84" s="85">
        <f>Poeng!R86</f>
        <v>1</v>
      </c>
      <c r="G84" s="678">
        <f t="shared" si="9"/>
        <v>1</v>
      </c>
      <c r="H84" s="749" t="str">
        <f t="shared" si="8"/>
        <v>OK</v>
      </c>
      <c r="M84" s="733" t="s">
        <v>101</v>
      </c>
      <c r="N84" s="49" t="b">
        <f t="shared" si="7"/>
        <v>1</v>
      </c>
      <c r="P84" s="49" t="s">
        <v>207</v>
      </c>
      <c r="Q84" s="721" t="s">
        <v>101</v>
      </c>
      <c r="R84" s="733" t="s">
        <v>883</v>
      </c>
      <c r="S84" s="723">
        <v>1</v>
      </c>
      <c r="T84" s="724" t="s">
        <v>1175</v>
      </c>
    </row>
    <row r="85" spans="1:20" ht="15.75" thickBot="1" x14ac:dyDescent="0.3">
      <c r="B85" s="89" t="s">
        <v>231</v>
      </c>
      <c r="C85" s="89">
        <f>Poeng!K87</f>
        <v>13</v>
      </c>
      <c r="D85" s="89"/>
      <c r="E85" s="89">
        <f>SUM(E80:E84)</f>
        <v>13</v>
      </c>
      <c r="G85" s="89">
        <f>SUM(G80:G84)</f>
        <v>13</v>
      </c>
      <c r="H85" s="749" t="str">
        <f t="shared" si="8"/>
        <v>OK</v>
      </c>
      <c r="M85" s="733" t="s">
        <v>126</v>
      </c>
      <c r="N85" s="49" t="b">
        <f t="shared" si="7"/>
        <v>1</v>
      </c>
      <c r="P85" s="49" t="s">
        <v>208</v>
      </c>
      <c r="Q85" s="721" t="s">
        <v>126</v>
      </c>
      <c r="R85" s="733" t="s">
        <v>885</v>
      </c>
      <c r="S85" s="723">
        <v>1</v>
      </c>
      <c r="T85" s="724" t="s">
        <v>1175</v>
      </c>
    </row>
    <row r="86" spans="1:20" ht="15.75" thickBot="1" x14ac:dyDescent="0.3">
      <c r="B86" s="49"/>
      <c r="C86" s="49"/>
      <c r="D86" s="49"/>
      <c r="G86" s="49"/>
      <c r="H86" s="749" t="str">
        <f t="shared" si="8"/>
        <v>OK</v>
      </c>
      <c r="M86" s="733" t="s">
        <v>1190</v>
      </c>
      <c r="N86" s="49" t="b">
        <f t="shared" si="7"/>
        <v>1</v>
      </c>
      <c r="P86" s="49" t="s">
        <v>209</v>
      </c>
      <c r="Q86" s="721" t="s">
        <v>1190</v>
      </c>
      <c r="R86" s="733" t="s">
        <v>905</v>
      </c>
      <c r="S86" s="723">
        <v>1</v>
      </c>
      <c r="T86" s="724" t="s">
        <v>1175</v>
      </c>
    </row>
    <row r="87" spans="1:20" ht="15.75" thickBot="1" x14ac:dyDescent="0.3">
      <c r="B87" s="86" t="s">
        <v>245</v>
      </c>
      <c r="C87" s="86"/>
      <c r="D87" s="86"/>
      <c r="E87" s="86"/>
      <c r="G87" s="678">
        <f t="shared" ref="G87:G94" si="10">SUMIF($P$7:$P$91,A87,$S$7:$S$91)</f>
        <v>0</v>
      </c>
      <c r="H87" s="749" t="str">
        <f t="shared" si="8"/>
        <v>OK</v>
      </c>
      <c r="M87" s="733" t="s">
        <v>1191</v>
      </c>
      <c r="N87" s="49" t="b">
        <f t="shared" si="7"/>
        <v>1</v>
      </c>
      <c r="P87" s="49" t="s">
        <v>209</v>
      </c>
      <c r="Q87" s="721" t="s">
        <v>1191</v>
      </c>
      <c r="R87" s="733" t="s">
        <v>905</v>
      </c>
      <c r="S87" s="723" t="s">
        <v>254</v>
      </c>
      <c r="T87" s="724" t="s">
        <v>1182</v>
      </c>
    </row>
    <row r="88" spans="1:20" x14ac:dyDescent="0.25">
      <c r="A88" t="s">
        <v>207</v>
      </c>
      <c r="B88" s="85" t="s">
        <v>1160</v>
      </c>
      <c r="C88" s="85">
        <f>Poeng!K90</f>
        <v>1</v>
      </c>
      <c r="D88" s="84"/>
      <c r="E88" s="85">
        <f>Poeng!R90</f>
        <v>1</v>
      </c>
      <c r="G88" s="678">
        <f t="shared" si="10"/>
        <v>1</v>
      </c>
      <c r="H88" s="749" t="str">
        <f t="shared" si="8"/>
        <v>OK</v>
      </c>
      <c r="M88" s="733" t="s">
        <v>185</v>
      </c>
      <c r="N88" s="49" t="b">
        <f t="shared" si="7"/>
        <v>1</v>
      </c>
      <c r="P88" s="49" t="s">
        <v>210</v>
      </c>
      <c r="Q88" s="721" t="s">
        <v>185</v>
      </c>
      <c r="R88" s="733" t="s">
        <v>909</v>
      </c>
      <c r="S88" s="723">
        <v>1</v>
      </c>
      <c r="T88" s="724" t="s">
        <v>1175</v>
      </c>
    </row>
    <row r="89" spans="1:20" x14ac:dyDescent="0.25">
      <c r="A89" t="s">
        <v>208</v>
      </c>
      <c r="B89" s="83" t="s">
        <v>1161</v>
      </c>
      <c r="C89" s="83">
        <f>Poeng!K91</f>
        <v>1</v>
      </c>
      <c r="D89" s="82"/>
      <c r="E89" s="85">
        <f>Poeng!R91</f>
        <v>1</v>
      </c>
      <c r="G89" s="678">
        <f t="shared" si="10"/>
        <v>1</v>
      </c>
      <c r="H89" s="749" t="str">
        <f t="shared" si="8"/>
        <v>OK</v>
      </c>
      <c r="M89" s="733" t="s">
        <v>189</v>
      </c>
      <c r="N89" s="49" t="b">
        <f t="shared" si="7"/>
        <v>1</v>
      </c>
      <c r="P89" s="49" t="s">
        <v>211</v>
      </c>
      <c r="Q89" s="721" t="s">
        <v>189</v>
      </c>
      <c r="R89" s="733" t="s">
        <v>913</v>
      </c>
      <c r="S89" s="723">
        <v>1</v>
      </c>
      <c r="T89" s="724" t="s">
        <v>1175</v>
      </c>
    </row>
    <row r="90" spans="1:20" x14ac:dyDescent="0.25">
      <c r="A90" t="s">
        <v>209</v>
      </c>
      <c r="B90" s="83" t="s">
        <v>1162</v>
      </c>
      <c r="C90" s="83">
        <f>Poeng!K92</f>
        <v>1</v>
      </c>
      <c r="D90" s="82"/>
      <c r="E90" s="85">
        <f>Poeng!R92</f>
        <v>1</v>
      </c>
      <c r="F90" s="750" t="s">
        <v>1209</v>
      </c>
      <c r="G90" s="678">
        <f t="shared" si="10"/>
        <v>1</v>
      </c>
      <c r="H90" s="749" t="str">
        <f t="shared" si="8"/>
        <v>OK</v>
      </c>
      <c r="I90" s="750" t="str">
        <f>IF(S86="-",Q87,IF(S86&gt;0,Q86,Q87))</f>
        <v>Tra 03a</v>
      </c>
      <c r="J90" t="s">
        <v>1236</v>
      </c>
      <c r="M90" s="733" t="s">
        <v>190</v>
      </c>
      <c r="N90" s="49" t="b">
        <f t="shared" si="7"/>
        <v>1</v>
      </c>
      <c r="P90" s="49" t="s">
        <v>212</v>
      </c>
      <c r="Q90" s="721" t="s">
        <v>190</v>
      </c>
      <c r="R90" s="733" t="s">
        <v>914</v>
      </c>
      <c r="S90" s="723">
        <v>1</v>
      </c>
      <c r="T90" s="724" t="s">
        <v>1175</v>
      </c>
    </row>
    <row r="91" spans="1:20" x14ac:dyDescent="0.25">
      <c r="A91" t="s">
        <v>210</v>
      </c>
      <c r="B91" s="83" t="s">
        <v>1163</v>
      </c>
      <c r="C91" s="83">
        <f>Poeng!K93</f>
        <v>1</v>
      </c>
      <c r="D91" s="82"/>
      <c r="E91" s="85">
        <f>Poeng!R93</f>
        <v>1</v>
      </c>
      <c r="G91" s="678">
        <f t="shared" si="10"/>
        <v>1</v>
      </c>
      <c r="H91" s="749" t="str">
        <f t="shared" si="8"/>
        <v>OK</v>
      </c>
      <c r="M91" s="733" t="s">
        <v>193</v>
      </c>
      <c r="N91" s="49" t="b">
        <f t="shared" si="7"/>
        <v>1</v>
      </c>
      <c r="P91" s="49" t="s">
        <v>213</v>
      </c>
      <c r="Q91" s="721" t="s">
        <v>193</v>
      </c>
      <c r="R91" s="733" t="s">
        <v>1206</v>
      </c>
      <c r="S91" s="723">
        <v>1</v>
      </c>
      <c r="T91" s="724" t="s">
        <v>1175</v>
      </c>
    </row>
    <row r="92" spans="1:20" ht="15.75" thickBot="1" x14ac:dyDescent="0.3">
      <c r="A92" t="s">
        <v>211</v>
      </c>
      <c r="B92" s="83" t="s">
        <v>268</v>
      </c>
      <c r="C92" s="83">
        <f>Poeng!K94</f>
        <v>2</v>
      </c>
      <c r="D92" s="82"/>
      <c r="E92" s="85">
        <f>Poeng!R94</f>
        <v>2</v>
      </c>
      <c r="G92" s="678">
        <f t="shared" si="10"/>
        <v>1</v>
      </c>
      <c r="H92" s="749" t="str">
        <f t="shared" si="8"/>
        <v>FEIL</v>
      </c>
      <c r="M92" s="49" t="s">
        <v>194</v>
      </c>
      <c r="N92" s="49" t="b">
        <f t="shared" si="7"/>
        <v>1</v>
      </c>
      <c r="P92" s="49" t="s">
        <v>243</v>
      </c>
      <c r="Q92" s="737" t="s">
        <v>194</v>
      </c>
      <c r="R92" s="738" t="s">
        <v>917</v>
      </c>
      <c r="S92" s="739">
        <v>1</v>
      </c>
      <c r="T92" s="740" t="s">
        <v>1175</v>
      </c>
    </row>
    <row r="93" spans="1:20" x14ac:dyDescent="0.25">
      <c r="A93" t="s">
        <v>212</v>
      </c>
      <c r="B93" s="83" t="s">
        <v>269</v>
      </c>
      <c r="C93" s="83">
        <f>Poeng!K95</f>
        <v>1</v>
      </c>
      <c r="D93" s="82"/>
      <c r="E93" s="85">
        <f>Poeng!R95</f>
        <v>1</v>
      </c>
      <c r="G93" s="678">
        <f t="shared" si="10"/>
        <v>1</v>
      </c>
      <c r="H93" s="749" t="str">
        <f t="shared" si="8"/>
        <v>OK</v>
      </c>
      <c r="N93" s="49"/>
      <c r="P93" s="49"/>
      <c r="Q93" s="49"/>
      <c r="R93" s="49"/>
      <c r="S93" s="49"/>
      <c r="T93" s="49"/>
    </row>
    <row r="94" spans="1:20" x14ac:dyDescent="0.25">
      <c r="A94" t="s">
        <v>213</v>
      </c>
      <c r="B94" s="83" t="s">
        <v>1164</v>
      </c>
      <c r="C94" s="83">
        <f>Poeng!K96</f>
        <v>1</v>
      </c>
      <c r="D94" s="82"/>
      <c r="E94" s="85">
        <f>Poeng!R96</f>
        <v>1</v>
      </c>
      <c r="G94" s="678">
        <f t="shared" si="10"/>
        <v>1</v>
      </c>
      <c r="H94" s="749" t="str">
        <f t="shared" si="8"/>
        <v>OK</v>
      </c>
      <c r="N94" s="49"/>
      <c r="P94" s="49"/>
      <c r="Q94" s="49"/>
      <c r="R94" s="49"/>
      <c r="S94" s="49"/>
      <c r="T94" s="49"/>
    </row>
    <row r="95" spans="1:20" ht="15.75" thickBot="1" x14ac:dyDescent="0.3">
      <c r="A95" t="s">
        <v>243</v>
      </c>
      <c r="B95" s="83" t="s">
        <v>1165</v>
      </c>
      <c r="C95" s="83">
        <f>Poeng!K97</f>
        <v>1</v>
      </c>
      <c r="D95" s="82"/>
      <c r="E95" s="85">
        <f>Poeng!R97</f>
        <v>1</v>
      </c>
      <c r="G95" s="678">
        <f>SUMIF($P$7:$P$92,A95,$S$7:$S$92)</f>
        <v>1</v>
      </c>
      <c r="H95" s="749" t="str">
        <f t="shared" si="8"/>
        <v>OK</v>
      </c>
      <c r="N95" s="49"/>
      <c r="P95" s="49"/>
      <c r="Q95" s="49"/>
      <c r="R95" s="49"/>
      <c r="S95" s="49"/>
      <c r="T95" s="49"/>
    </row>
    <row r="96" spans="1:20" s="49" customFormat="1" ht="15.75" thickBot="1" x14ac:dyDescent="0.3">
      <c r="A96" s="49" t="s">
        <v>273</v>
      </c>
      <c r="B96" s="104" t="s">
        <v>1166</v>
      </c>
      <c r="C96" s="104"/>
      <c r="D96" s="103"/>
      <c r="E96" s="85">
        <f>Poeng!R98</f>
        <v>10</v>
      </c>
      <c r="G96" s="663">
        <v>10</v>
      </c>
      <c r="H96" s="749" t="str">
        <f t="shared" si="8"/>
        <v>OK</v>
      </c>
    </row>
    <row r="97" spans="1:20" ht="15.75" thickBot="1" x14ac:dyDescent="0.3">
      <c r="B97" s="89"/>
      <c r="C97" s="89">
        <f>Poeng!K99</f>
        <v>10</v>
      </c>
      <c r="D97" s="89"/>
      <c r="E97" s="89">
        <f>IF(SUM(E88:E96)&gt;10,10,SUM(E88:E96))</f>
        <v>10</v>
      </c>
      <c r="G97" s="89">
        <f>IF(SUM(G88:G96)&gt;10,10,SUM(G88:G96))</f>
        <v>10</v>
      </c>
      <c r="H97" s="749" t="str">
        <f t="shared" si="8"/>
        <v>OK</v>
      </c>
      <c r="N97" s="49"/>
      <c r="P97" s="49"/>
      <c r="Q97" s="49"/>
      <c r="R97" s="49"/>
      <c r="S97" s="49"/>
      <c r="T97" s="49"/>
    </row>
    <row r="98" spans="1:20" x14ac:dyDescent="0.25">
      <c r="G98" s="49">
        <f>SUM(G6:G95)</f>
        <v>252</v>
      </c>
      <c r="H98" s="49" t="str">
        <f t="shared" ref="H98" si="11">IF(E98=G98,"OK","FEIL")</f>
        <v>FEIL</v>
      </c>
      <c r="N98" s="49"/>
      <c r="P98" s="49"/>
      <c r="Q98" s="49"/>
      <c r="R98" s="49"/>
      <c r="S98" s="49">
        <f>SUM(S6:S97)</f>
        <v>130</v>
      </c>
      <c r="T98" s="49"/>
    </row>
    <row r="99" spans="1:20" x14ac:dyDescent="0.25">
      <c r="N99" s="49"/>
      <c r="P99" s="49"/>
      <c r="Q99" s="49"/>
      <c r="R99" s="49"/>
      <c r="S99" s="49"/>
      <c r="T99" s="49"/>
    </row>
    <row r="100" spans="1:20" x14ac:dyDescent="0.25">
      <c r="P100" s="49"/>
      <c r="Q100" s="49"/>
      <c r="R100" s="49"/>
      <c r="S100" s="49"/>
      <c r="T100" s="49"/>
    </row>
    <row r="102" spans="1:20" x14ac:dyDescent="0.25">
      <c r="A102" t="s">
        <v>207</v>
      </c>
      <c r="B102" t="s">
        <v>1160</v>
      </c>
    </row>
    <row r="103" spans="1:20" x14ac:dyDescent="0.25">
      <c r="A103" t="s">
        <v>208</v>
      </c>
      <c r="B103" t="s">
        <v>1161</v>
      </c>
    </row>
    <row r="104" spans="1:20" x14ac:dyDescent="0.25">
      <c r="A104" t="s">
        <v>209</v>
      </c>
      <c r="B104" t="s">
        <v>1162</v>
      </c>
    </row>
    <row r="105" spans="1:20" x14ac:dyDescent="0.25">
      <c r="A105" t="s">
        <v>210</v>
      </c>
      <c r="B105" t="s">
        <v>1163</v>
      </c>
    </row>
    <row r="106" spans="1:20" x14ac:dyDescent="0.25">
      <c r="A106" t="s">
        <v>211</v>
      </c>
      <c r="B106" t="s">
        <v>268</v>
      </c>
    </row>
    <row r="107" spans="1:20" x14ac:dyDescent="0.25">
      <c r="A107" t="s">
        <v>212</v>
      </c>
      <c r="B107" t="s">
        <v>269</v>
      </c>
    </row>
    <row r="108" spans="1:20" x14ac:dyDescent="0.25">
      <c r="A108" t="s">
        <v>213</v>
      </c>
      <c r="B108" t="s">
        <v>1164</v>
      </c>
    </row>
    <row r="109" spans="1:20" x14ac:dyDescent="0.25">
      <c r="A109" t="s">
        <v>243</v>
      </c>
      <c r="B109" t="s">
        <v>1165</v>
      </c>
    </row>
    <row r="110" spans="1:20" x14ac:dyDescent="0.25">
      <c r="A110" t="s">
        <v>273</v>
      </c>
      <c r="B110" t="s">
        <v>1166</v>
      </c>
    </row>
  </sheetData>
  <sheetProtection algorithmName="SHA-512" hashValue="9jeruH59gLm5iHD3NBjQfHlky9M27mImZGHCc5YeFMbW8jBoqANNwSxnCMx7BZ2W6rVdqOvty0QKvVZvXYIM0g==" saltValue="MyNpt2U9IFVP2PxlNBnb6A==" spinCount="100000" sheet="1" objects="1" scenarios="1"/>
  <protectedRanges>
    <protectedRange sqref="H2" name="Sortering"/>
  </protectedRanges>
  <mergeCells count="2">
    <mergeCell ref="Q14:Q16"/>
    <mergeCell ref="Q17:Q19"/>
  </mergeCells>
  <conditionalFormatting sqref="H2">
    <cfRule type="expression" dxfId="131" priority="2">
      <formula>$X2=2</formula>
    </cfRule>
  </conditionalFormatting>
  <conditionalFormatting sqref="H2">
    <cfRule type="expression" dxfId="130" priority="3">
      <formula>H2&gt;#REF!</formula>
    </cfRule>
  </conditionalFormatting>
  <conditionalFormatting sqref="H7:H97">
    <cfRule type="expression" dxfId="129" priority="1">
      <formula>H7="FEIL"</formula>
    </cfRule>
  </conditionalFormatting>
  <dataValidations count="2">
    <dataValidation type="list" allowBlank="1" showInputMessage="1" showErrorMessage="1" sqref="H2" xr:uid="{00000000-0002-0000-0500-000000000000}">
      <formula1>$I$1:$I$2</formula1>
    </dataValidation>
    <dataValidation type="list" allowBlank="1" showInputMessage="1" showErrorMessage="1" sqref="J29" xr:uid="{00000000-0002-0000-0500-000001000000}">
      <formula1>$J$4:$J$5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N309"/>
  <sheetViews>
    <sheetView zoomScaleNormal="100" workbookViewId="0">
      <selection activeCell="I45" sqref="I45"/>
    </sheetView>
  </sheetViews>
  <sheetFormatPr defaultColWidth="9.140625" defaultRowHeight="15" x14ac:dyDescent="0.25"/>
  <cols>
    <col min="1" max="1" width="3" style="40" customWidth="1"/>
    <col min="2" max="2" width="23.42578125" style="40" customWidth="1"/>
    <col min="3" max="3" width="13.140625" style="40" customWidth="1"/>
    <col min="4" max="4" width="11.85546875" style="40" customWidth="1"/>
    <col min="5" max="5" width="15.140625" style="40" customWidth="1"/>
    <col min="6" max="6" width="14.5703125" style="40" customWidth="1"/>
    <col min="7" max="7" width="13.85546875" style="40" customWidth="1"/>
    <col min="8" max="8" width="15" style="40" bestFit="1" customWidth="1"/>
    <col min="9" max="9" width="10.85546875" style="40" customWidth="1"/>
    <col min="10" max="10" width="8.85546875" style="40" bestFit="1" customWidth="1"/>
    <col min="11" max="11" width="26.42578125" style="40" bestFit="1" customWidth="1"/>
    <col min="12" max="12" width="10.42578125" style="40" customWidth="1"/>
    <col min="13" max="13" width="14" style="40" customWidth="1"/>
    <col min="14" max="14" width="19.5703125" style="40" customWidth="1"/>
    <col min="15" max="15" width="13.140625" style="40" customWidth="1"/>
    <col min="16" max="16" width="14" style="40" customWidth="1"/>
    <col min="17" max="17" width="16.5703125" style="40" customWidth="1"/>
    <col min="18" max="26" width="9.140625" style="40" customWidth="1"/>
    <col min="27" max="32" width="9.140625" style="40" hidden="1" customWidth="1"/>
    <col min="33" max="42" width="9.140625" style="40" customWidth="1"/>
    <col min="43" max="16384" width="9.140625" style="40"/>
  </cols>
  <sheetData>
    <row r="1" spans="1:40" x14ac:dyDescent="0.25">
      <c r="A1" s="1"/>
      <c r="B1" s="1"/>
      <c r="C1" s="1"/>
      <c r="D1" s="1"/>
      <c r="E1" s="1"/>
      <c r="F1" s="1"/>
      <c r="G1" s="1"/>
      <c r="H1" s="1"/>
      <c r="I1" s="1"/>
      <c r="J1" s="1"/>
      <c r="K1" s="1"/>
      <c r="L1" s="1"/>
      <c r="M1" s="1"/>
      <c r="N1" s="1"/>
      <c r="O1" s="1"/>
      <c r="P1" s="1"/>
      <c r="Q1" s="1"/>
      <c r="R1" s="1"/>
      <c r="S1" s="1"/>
    </row>
    <row r="2" spans="1:40" ht="35.25" customHeight="1" x14ac:dyDescent="0.25">
      <c r="A2" s="1"/>
      <c r="B2" s="760" t="s">
        <v>965</v>
      </c>
      <c r="C2" s="761"/>
      <c r="D2" s="761"/>
      <c r="E2" s="761"/>
      <c r="F2" s="761"/>
      <c r="G2" s="761"/>
      <c r="H2" s="762"/>
      <c r="I2" s="762"/>
      <c r="J2" s="762"/>
      <c r="K2" s="763"/>
      <c r="L2" s="762"/>
      <c r="M2" s="1243" t="str">
        <f>IF('Manuell filtrering og justering'!H2='Manuell filtrering og justering'!I2,"Bespoke","")</f>
        <v/>
      </c>
      <c r="N2" s="1"/>
      <c r="O2" s="1"/>
      <c r="P2" s="1"/>
      <c r="Q2" s="1"/>
      <c r="R2" s="1"/>
      <c r="S2" s="1"/>
    </row>
    <row r="3" spans="1:40" ht="15" customHeight="1" x14ac:dyDescent="0.25">
      <c r="A3" s="1"/>
      <c r="B3" s="10"/>
      <c r="C3" s="1"/>
      <c r="D3" s="1"/>
      <c r="E3" s="1"/>
      <c r="F3" s="1"/>
      <c r="G3" s="1"/>
      <c r="H3" s="1"/>
      <c r="I3" s="1"/>
      <c r="J3" s="1"/>
      <c r="K3" s="1"/>
      <c r="L3" s="1"/>
      <c r="M3" s="460"/>
      <c r="N3" s="1"/>
      <c r="O3" s="1"/>
      <c r="P3" s="1"/>
      <c r="Q3" s="1"/>
      <c r="R3" s="1"/>
      <c r="S3" s="1"/>
    </row>
    <row r="4" spans="1:40" ht="18.75" x14ac:dyDescent="0.3">
      <c r="A4" s="1"/>
      <c r="B4" s="21" t="s">
        <v>64</v>
      </c>
      <c r="C4" s="4"/>
      <c r="D4" s="7"/>
      <c r="E4" s="7"/>
      <c r="F4" s="7"/>
      <c r="G4" s="7"/>
      <c r="H4" s="7"/>
      <c r="I4" s="7"/>
      <c r="J4" s="7"/>
      <c r="K4" s="7"/>
      <c r="L4" s="7"/>
      <c r="M4" s="7"/>
      <c r="N4" s="1"/>
      <c r="O4" s="1"/>
      <c r="P4" s="1"/>
      <c r="Q4" s="1"/>
      <c r="R4" s="1"/>
      <c r="S4" s="1"/>
    </row>
    <row r="5" spans="1:40" x14ac:dyDescent="0.25">
      <c r="A5" s="1"/>
      <c r="B5" s="1"/>
      <c r="C5" s="1"/>
      <c r="D5" s="1"/>
      <c r="E5" s="1"/>
      <c r="F5" s="1"/>
      <c r="G5" s="1"/>
      <c r="H5" s="1"/>
      <c r="I5" s="1"/>
      <c r="J5" s="1"/>
      <c r="K5" s="1"/>
      <c r="L5" s="1"/>
      <c r="M5" s="1"/>
      <c r="N5" s="1"/>
      <c r="O5" s="1"/>
      <c r="P5" s="1"/>
      <c r="Q5" s="1"/>
      <c r="R5" s="1"/>
      <c r="S5" s="1"/>
    </row>
    <row r="6" spans="1:40" ht="15.75" x14ac:dyDescent="0.25">
      <c r="A6" s="1"/>
      <c r="B6" s="137"/>
      <c r="C6" s="138" t="s">
        <v>23</v>
      </c>
      <c r="D6" s="139" t="str">
        <f>IF(ADBN="","",ADBN)</f>
        <v/>
      </c>
      <c r="E6" s="140"/>
      <c r="F6" s="140"/>
      <c r="G6" s="141"/>
      <c r="H6" s="646"/>
      <c r="I6" s="49"/>
      <c r="J6" s="135"/>
      <c r="K6" s="173"/>
      <c r="L6" s="135" t="str">
        <f>"Scoring and Reporting tool, Version: "&amp;TVC_current_version&amp;". Date: "</f>
        <v xml:space="preserve">Scoring and Reporting tool, Version: 1.05. Date: </v>
      </c>
      <c r="M6" s="136">
        <f>TVC_current_date</f>
        <v>43782</v>
      </c>
      <c r="N6" s="1"/>
      <c r="O6" s="1"/>
      <c r="P6" s="1"/>
      <c r="Q6" s="1"/>
      <c r="R6" s="1"/>
      <c r="S6" s="1"/>
    </row>
    <row r="7" spans="1:40" ht="15.75" x14ac:dyDescent="0.25">
      <c r="A7" s="22"/>
      <c r="B7" s="612"/>
      <c r="C7" s="612"/>
      <c r="D7" s="1401" t="s">
        <v>14</v>
      </c>
      <c r="E7" s="1401"/>
      <c r="F7" s="1402"/>
      <c r="G7" s="1402"/>
      <c r="H7" s="613"/>
      <c r="I7" s="613"/>
      <c r="J7" s="22"/>
      <c r="K7" s="22"/>
      <c r="L7" s="191"/>
      <c r="M7" s="644" t="str">
        <f>IF(OR(Poeng!AT112=1,Poeng!AW112=1,Poeng!AZ112=1),Poeng!AL117,"")</f>
        <v/>
      </c>
      <c r="N7" s="191"/>
      <c r="O7" s="191"/>
      <c r="Z7" s="157"/>
      <c r="AA7" s="157"/>
      <c r="AB7" s="157"/>
      <c r="AC7" s="157"/>
      <c r="AD7" s="157"/>
      <c r="AE7" s="157"/>
      <c r="AF7" s="157"/>
      <c r="AG7" s="157"/>
      <c r="AH7" s="157"/>
      <c r="AI7" s="157"/>
      <c r="AJ7" s="157"/>
      <c r="AK7" s="157"/>
      <c r="AL7" s="157"/>
      <c r="AM7" s="157"/>
      <c r="AN7" s="157"/>
    </row>
    <row r="8" spans="1:40" ht="15.75" x14ac:dyDescent="0.25">
      <c r="A8" s="1"/>
      <c r="B8" s="143"/>
      <c r="C8" s="144" t="s">
        <v>89</v>
      </c>
      <c r="D8" s="1404" t="str">
        <f>BP_BREEAMRating</f>
        <v>Unclassified</v>
      </c>
      <c r="E8" s="1405"/>
      <c r="F8" s="1403" t="str">
        <f>Poeng!AV112</f>
        <v>Unclassified</v>
      </c>
      <c r="G8" s="1403"/>
      <c r="H8" s="1403" t="str">
        <f>Poeng!AY112</f>
        <v>Unclassified</v>
      </c>
      <c r="I8" s="1403"/>
      <c r="J8" s="191"/>
      <c r="L8" s="191"/>
      <c r="M8" s="191"/>
      <c r="N8" s="191"/>
      <c r="O8" s="191"/>
      <c r="Z8" s="1397"/>
      <c r="AA8" s="1397"/>
      <c r="AB8" s="1397"/>
      <c r="AC8" s="1397"/>
      <c r="AD8" s="1397"/>
      <c r="AE8" s="1397"/>
      <c r="AF8" s="1397"/>
      <c r="AG8" s="1397"/>
      <c r="AH8" s="1397"/>
      <c r="AI8" s="1397"/>
      <c r="AJ8" s="1397"/>
      <c r="AK8" s="1397"/>
      <c r="AL8" s="1397"/>
      <c r="AM8" s="1397"/>
      <c r="AN8" s="1397"/>
    </row>
    <row r="9" spans="1:40" ht="18" customHeight="1" x14ac:dyDescent="0.25">
      <c r="A9" s="1"/>
      <c r="B9" s="142"/>
      <c r="C9" s="145" t="s">
        <v>90</v>
      </c>
      <c r="D9" s="1406">
        <f>Score_Initial</f>
        <v>0</v>
      </c>
      <c r="E9" s="1407"/>
      <c r="F9" s="1403">
        <f>Poeng!AU110</f>
        <v>0</v>
      </c>
      <c r="G9" s="1403"/>
      <c r="H9" s="1403">
        <f>Poeng!AX110</f>
        <v>0</v>
      </c>
      <c r="I9" s="1403"/>
      <c r="J9" s="191"/>
      <c r="K9" s="191"/>
      <c r="L9" s="191"/>
      <c r="M9" s="191"/>
      <c r="N9" s="191"/>
      <c r="O9" s="191"/>
      <c r="Z9" s="1397"/>
      <c r="AA9" s="1397"/>
      <c r="AB9" s="1397"/>
      <c r="AC9" s="1397"/>
      <c r="AD9" s="1397"/>
      <c r="AE9" s="1397"/>
      <c r="AF9" s="1397"/>
      <c r="AG9" s="1397"/>
      <c r="AH9" s="1397"/>
      <c r="AI9" s="1397"/>
      <c r="AJ9" s="1397"/>
      <c r="AK9" s="1397"/>
      <c r="AL9" s="1397"/>
      <c r="AM9" s="1397"/>
      <c r="AN9" s="1397"/>
    </row>
    <row r="10" spans="1:40" ht="15.75" x14ac:dyDescent="0.25">
      <c r="A10" s="1"/>
      <c r="B10" s="431"/>
      <c r="C10" s="432" t="s">
        <v>84</v>
      </c>
      <c r="D10" s="1408" t="str">
        <f>BP_MinStandards</f>
        <v>Unclassified</v>
      </c>
      <c r="E10" s="1409"/>
      <c r="F10" s="1403" t="str">
        <f>Poeng!AV107</f>
        <v>Unclassified</v>
      </c>
      <c r="G10" s="1403"/>
      <c r="H10" s="1403" t="str">
        <f>Poeng!AY107</f>
        <v>Unclassified</v>
      </c>
      <c r="I10" s="1403"/>
      <c r="J10" s="22"/>
      <c r="K10" s="191"/>
      <c r="L10" s="191"/>
      <c r="M10" s="191"/>
      <c r="N10" s="191"/>
      <c r="O10" s="191"/>
      <c r="Z10" s="1397"/>
      <c r="AA10" s="1397"/>
      <c r="AB10" s="1397"/>
      <c r="AC10" s="1397"/>
      <c r="AD10" s="1397"/>
      <c r="AE10" s="1397"/>
      <c r="AF10" s="1397"/>
      <c r="AG10" s="1397"/>
      <c r="AH10" s="1397"/>
      <c r="AI10" s="1397"/>
      <c r="AJ10" s="1397"/>
      <c r="AK10" s="1397"/>
      <c r="AL10" s="1397"/>
      <c r="AM10" s="1397"/>
      <c r="AN10" s="1397"/>
    </row>
    <row r="11" spans="1:40" ht="42" customHeight="1" x14ac:dyDescent="0.3">
      <c r="A11" s="1"/>
      <c r="B11" s="21" t="s">
        <v>65</v>
      </c>
      <c r="C11" s="4"/>
      <c r="D11" s="7"/>
      <c r="E11" s="7"/>
      <c r="F11" s="7"/>
      <c r="G11" s="7"/>
      <c r="H11" s="7"/>
      <c r="I11" s="21" t="s">
        <v>84</v>
      </c>
      <c r="J11" s="7"/>
      <c r="K11" s="7"/>
      <c r="L11" s="7"/>
      <c r="M11" s="7"/>
      <c r="N11" s="645"/>
      <c r="O11" s="1"/>
      <c r="P11" s="1"/>
      <c r="Q11" s="1"/>
      <c r="R11" s="1"/>
      <c r="S11" s="1"/>
    </row>
    <row r="12" spans="1:40" ht="15" customHeight="1" x14ac:dyDescent="0.25">
      <c r="A12" s="1"/>
      <c r="B12" s="156"/>
      <c r="C12" s="156"/>
      <c r="D12" s="156"/>
      <c r="E12" s="156"/>
      <c r="F12" s="156"/>
      <c r="G12" s="156"/>
      <c r="H12" s="156"/>
      <c r="I12" s="156"/>
      <c r="J12" s="156"/>
      <c r="K12" s="191"/>
      <c r="L12" s="1"/>
      <c r="M12" s="1"/>
      <c r="N12" s="645"/>
      <c r="O12" s="2"/>
      <c r="P12" s="2"/>
      <c r="Q12" s="2"/>
      <c r="R12" s="2"/>
      <c r="S12" s="2"/>
      <c r="T12" s="52"/>
      <c r="U12" s="52"/>
    </row>
    <row r="13" spans="1:40" ht="15" customHeight="1" x14ac:dyDescent="0.25">
      <c r="A13" s="1"/>
      <c r="B13" s="170"/>
      <c r="C13" s="170"/>
      <c r="D13" s="170"/>
      <c r="E13" s="170"/>
      <c r="F13" s="170"/>
      <c r="G13" s="170"/>
      <c r="H13" s="170"/>
      <c r="I13" s="170"/>
      <c r="J13" s="170"/>
      <c r="K13" s="191"/>
      <c r="L13" s="1"/>
      <c r="M13" s="1"/>
      <c r="N13" s="645"/>
      <c r="O13" s="2"/>
      <c r="P13" s="2"/>
      <c r="Q13" s="2"/>
      <c r="R13" s="2"/>
      <c r="S13" s="2"/>
      <c r="T13" s="52"/>
      <c r="U13" s="52"/>
    </row>
    <row r="14" spans="1:40" ht="15" customHeight="1" x14ac:dyDescent="0.25">
      <c r="A14" s="1"/>
      <c r="B14" s="170"/>
      <c r="C14" s="170"/>
      <c r="D14" s="170"/>
      <c r="E14" s="170"/>
      <c r="F14" s="170"/>
      <c r="G14" s="170"/>
      <c r="H14" s="170"/>
      <c r="I14" s="170"/>
      <c r="J14" s="170"/>
      <c r="K14" s="191"/>
      <c r="L14" s="1"/>
      <c r="M14" s="1"/>
      <c r="N14" s="22"/>
      <c r="O14" s="2"/>
      <c r="P14" s="2"/>
      <c r="Q14" s="2"/>
      <c r="R14" s="2"/>
      <c r="S14" s="2"/>
      <c r="T14" s="52"/>
      <c r="U14" s="52"/>
    </row>
    <row r="15" spans="1:40" ht="15" customHeight="1" x14ac:dyDescent="0.25">
      <c r="A15" s="1"/>
      <c r="B15" s="170"/>
      <c r="C15" s="170"/>
      <c r="D15" s="170"/>
      <c r="E15" s="170"/>
      <c r="F15" s="170"/>
      <c r="G15" s="170"/>
      <c r="H15" s="170"/>
      <c r="I15" s="170"/>
      <c r="J15" s="170"/>
      <c r="K15" s="191"/>
      <c r="L15" s="1"/>
      <c r="M15" s="1"/>
      <c r="N15" s="1"/>
      <c r="O15" s="2"/>
      <c r="Q15" s="2"/>
      <c r="R15" s="2"/>
      <c r="S15" s="2"/>
      <c r="T15" s="52"/>
      <c r="U15" s="52"/>
    </row>
    <row r="16" spans="1:40" ht="15" customHeight="1" x14ac:dyDescent="0.25">
      <c r="A16" s="1"/>
      <c r="B16" s="170"/>
      <c r="C16" s="170"/>
      <c r="D16" s="170"/>
      <c r="E16" s="170"/>
      <c r="F16" s="170"/>
      <c r="G16" s="170"/>
      <c r="H16" s="170"/>
      <c r="I16" s="170"/>
      <c r="J16" s="170"/>
      <c r="K16" s="191"/>
      <c r="L16" s="1"/>
      <c r="M16" s="1"/>
      <c r="N16" s="1"/>
      <c r="O16" s="2"/>
      <c r="Q16" s="2"/>
      <c r="R16" s="2"/>
      <c r="S16" s="2"/>
      <c r="T16" s="52"/>
      <c r="U16" s="52"/>
    </row>
    <row r="17" spans="1:32" ht="15" customHeight="1" x14ac:dyDescent="0.25">
      <c r="A17" s="1"/>
      <c r="B17" s="170"/>
      <c r="C17" s="170"/>
      <c r="D17" s="170"/>
      <c r="E17" s="170"/>
      <c r="F17" s="170"/>
      <c r="G17" s="170"/>
      <c r="H17" s="170"/>
      <c r="I17" s="170"/>
      <c r="J17" s="170"/>
      <c r="K17" s="191"/>
      <c r="L17" s="1"/>
      <c r="M17" s="1"/>
      <c r="N17" s="1"/>
      <c r="O17" s="2"/>
      <c r="Q17" s="2"/>
      <c r="R17" s="2"/>
      <c r="S17" s="2"/>
      <c r="T17" s="52"/>
      <c r="U17" s="52"/>
    </row>
    <row r="18" spans="1:32" ht="15" customHeight="1" thickBot="1" x14ac:dyDescent="0.3">
      <c r="A18" s="1"/>
      <c r="B18" s="170"/>
      <c r="C18" s="170"/>
      <c r="D18" s="170"/>
      <c r="E18" s="170"/>
      <c r="F18" s="170"/>
      <c r="G18" s="170"/>
      <c r="H18" s="170"/>
      <c r="I18" s="170"/>
      <c r="J18" s="170"/>
      <c r="K18" s="191"/>
      <c r="L18" s="1"/>
      <c r="M18" s="1"/>
      <c r="N18" s="1"/>
      <c r="O18" s="2"/>
      <c r="Q18" s="2"/>
      <c r="R18" s="2"/>
      <c r="S18" s="2"/>
      <c r="T18" s="52"/>
      <c r="U18" s="52"/>
    </row>
    <row r="19" spans="1:32" ht="15" customHeight="1" x14ac:dyDescent="0.25">
      <c r="A19" s="1"/>
      <c r="B19" s="170"/>
      <c r="C19" s="170"/>
      <c r="D19" s="170"/>
      <c r="E19" s="170"/>
      <c r="F19" s="170"/>
      <c r="G19" s="170"/>
      <c r="H19" s="170"/>
      <c r="I19" s="170"/>
      <c r="J19" s="170"/>
      <c r="K19" s="191"/>
      <c r="L19" s="1"/>
      <c r="M19" s="1"/>
      <c r="N19" s="1"/>
      <c r="O19" s="2"/>
      <c r="Q19" s="2"/>
      <c r="R19" s="2"/>
      <c r="S19" s="2"/>
      <c r="T19" s="52"/>
      <c r="U19" s="52"/>
      <c r="AB19" s="162"/>
      <c r="AC19" s="154" t="s">
        <v>230</v>
      </c>
      <c r="AD19" s="154" t="str">
        <f>IF(D6="","Building Performance","Building Performance: "&amp;D6)</f>
        <v>Building Performance</v>
      </c>
      <c r="AE19" s="154" t="e">
        <f>#REF!</f>
        <v>#REF!</v>
      </c>
      <c r="AF19" s="163" t="e">
        <f>#REF!</f>
        <v>#REF!</v>
      </c>
    </row>
    <row r="20" spans="1:32" ht="15" customHeight="1" x14ac:dyDescent="0.25">
      <c r="A20" s="1"/>
      <c r="B20" s="170"/>
      <c r="C20" s="170"/>
      <c r="D20" s="170"/>
      <c r="E20" s="170"/>
      <c r="F20" s="170"/>
      <c r="G20" s="170"/>
      <c r="H20" s="170"/>
      <c r="I20" s="170"/>
      <c r="J20" s="170"/>
      <c r="K20" s="191"/>
      <c r="L20" s="1"/>
      <c r="M20" s="1"/>
      <c r="N20" s="1"/>
      <c r="O20" s="2"/>
      <c r="Q20" s="2"/>
      <c r="R20" s="2"/>
      <c r="S20" s="2"/>
      <c r="T20" s="52"/>
      <c r="U20" s="52"/>
      <c r="AB20" s="164" t="s">
        <v>221</v>
      </c>
      <c r="AC20" s="161">
        <f>BP_32</f>
        <v>0.12</v>
      </c>
      <c r="AD20" s="161">
        <f t="shared" ref="AD20:AD29" si="0">IF(D$7=$AA$32,G32,"")</f>
        <v>0</v>
      </c>
      <c r="AE20" s="161" t="str">
        <f t="shared" ref="AE20:AE29" si="1">IF(F$7=$AA$32,L32,"")</f>
        <v/>
      </c>
      <c r="AF20" s="171" t="str">
        <f t="shared" ref="AF20:AF29" si="2">IF(H$7=$AA$32,M32,"")</f>
        <v/>
      </c>
    </row>
    <row r="21" spans="1:32" ht="15" customHeight="1" x14ac:dyDescent="0.25">
      <c r="A21" s="1"/>
      <c r="B21" s="170"/>
      <c r="C21" s="170"/>
      <c r="D21" s="170"/>
      <c r="E21" s="170"/>
      <c r="F21" s="170"/>
      <c r="G21" s="170"/>
      <c r="H21" s="170"/>
      <c r="I21" s="170"/>
      <c r="J21" s="170"/>
      <c r="K21" s="191"/>
      <c r="L21" s="1"/>
      <c r="M21" s="1"/>
      <c r="N21" s="1"/>
      <c r="O21" s="2"/>
      <c r="P21" s="2"/>
      <c r="Q21" s="2"/>
      <c r="R21" s="2"/>
      <c r="S21" s="2"/>
      <c r="T21" s="52"/>
      <c r="U21" s="52"/>
      <c r="AB21" s="164" t="s">
        <v>134</v>
      </c>
      <c r="AC21" s="161">
        <f>F33</f>
        <v>0.15</v>
      </c>
      <c r="AD21" s="161">
        <f t="shared" si="0"/>
        <v>0</v>
      </c>
      <c r="AE21" s="161" t="str">
        <f t="shared" si="1"/>
        <v/>
      </c>
      <c r="AF21" s="171" t="str">
        <f t="shared" si="2"/>
        <v/>
      </c>
    </row>
    <row r="22" spans="1:32" ht="15" customHeight="1" x14ac:dyDescent="0.25">
      <c r="A22" s="1"/>
      <c r="B22" s="170"/>
      <c r="C22" s="170"/>
      <c r="D22" s="170"/>
      <c r="E22" s="170"/>
      <c r="F22" s="170"/>
      <c r="G22" s="170"/>
      <c r="H22" s="170"/>
      <c r="I22" s="170"/>
      <c r="J22" s="170"/>
      <c r="K22" s="191"/>
      <c r="L22" s="1"/>
      <c r="M22" s="1"/>
      <c r="N22" s="1"/>
      <c r="O22" s="2"/>
      <c r="P22" s="2"/>
      <c r="Q22" s="2"/>
      <c r="R22" s="2"/>
      <c r="S22" s="2"/>
      <c r="T22" s="52"/>
      <c r="U22" s="52"/>
      <c r="AB22" s="164" t="s">
        <v>222</v>
      </c>
      <c r="AC22" s="161">
        <f>BP_34</f>
        <v>0.19</v>
      </c>
      <c r="AD22" s="161">
        <f t="shared" si="0"/>
        <v>0</v>
      </c>
      <c r="AE22" s="161" t="str">
        <f t="shared" si="1"/>
        <v/>
      </c>
      <c r="AF22" s="171" t="str">
        <f t="shared" si="2"/>
        <v/>
      </c>
    </row>
    <row r="23" spans="1:32" ht="15" customHeight="1" x14ac:dyDescent="0.25">
      <c r="A23" s="1"/>
      <c r="B23" s="170"/>
      <c r="C23" s="170"/>
      <c r="D23" s="170"/>
      <c r="E23" s="170"/>
      <c r="F23" s="170"/>
      <c r="G23" s="170"/>
      <c r="H23" s="170"/>
      <c r="I23" s="170"/>
      <c r="J23" s="170"/>
      <c r="K23" s="191"/>
      <c r="L23" s="1"/>
      <c r="M23" s="1"/>
      <c r="N23" s="1"/>
      <c r="O23" s="2"/>
      <c r="P23" s="2"/>
      <c r="Q23" s="2"/>
      <c r="R23" s="2"/>
      <c r="S23" s="2"/>
      <c r="T23" s="52"/>
      <c r="U23" s="52"/>
      <c r="AB23" s="164" t="s">
        <v>223</v>
      </c>
      <c r="AC23" s="161">
        <f>BP_35</f>
        <v>0.1</v>
      </c>
      <c r="AD23" s="161">
        <f t="shared" si="0"/>
        <v>0</v>
      </c>
      <c r="AE23" s="161" t="str">
        <f t="shared" si="1"/>
        <v/>
      </c>
      <c r="AF23" s="171" t="str">
        <f t="shared" si="2"/>
        <v/>
      </c>
    </row>
    <row r="24" spans="1:32" ht="15" customHeight="1" x14ac:dyDescent="0.25">
      <c r="A24" s="1"/>
      <c r="B24" s="170"/>
      <c r="C24" s="170"/>
      <c r="D24" s="170"/>
      <c r="E24" s="170"/>
      <c r="F24" s="170"/>
      <c r="G24" s="170"/>
      <c r="H24" s="170"/>
      <c r="I24" s="170"/>
      <c r="J24" s="170"/>
      <c r="K24" s="191"/>
      <c r="L24" s="1"/>
      <c r="M24" s="1"/>
      <c r="N24" s="1"/>
      <c r="O24" s="2"/>
      <c r="P24" s="2"/>
      <c r="Q24" s="2"/>
      <c r="R24" s="2"/>
      <c r="S24" s="2"/>
      <c r="T24" s="52"/>
      <c r="U24" s="52"/>
      <c r="AB24" s="164" t="s">
        <v>224</v>
      </c>
      <c r="AC24" s="161">
        <f>BP_36</f>
        <v>0.05</v>
      </c>
      <c r="AD24" s="161">
        <f t="shared" si="0"/>
        <v>0</v>
      </c>
      <c r="AE24" s="161" t="str">
        <f t="shared" si="1"/>
        <v/>
      </c>
      <c r="AF24" s="171" t="str">
        <f t="shared" si="2"/>
        <v/>
      </c>
    </row>
    <row r="25" spans="1:32" ht="15" customHeight="1" x14ac:dyDescent="0.25">
      <c r="A25" s="1"/>
      <c r="B25" s="170"/>
      <c r="C25" s="170"/>
      <c r="D25" s="170"/>
      <c r="E25" s="170"/>
      <c r="F25" s="170"/>
      <c r="G25" s="170"/>
      <c r="H25" s="170"/>
      <c r="I25" s="170"/>
      <c r="J25" s="170"/>
      <c r="K25" s="191"/>
      <c r="L25" s="1"/>
      <c r="M25" s="1"/>
      <c r="N25" s="1"/>
      <c r="O25" s="2"/>
      <c r="P25" s="2"/>
      <c r="Q25" s="2"/>
      <c r="R25" s="2"/>
      <c r="S25" s="2"/>
      <c r="T25" s="52"/>
      <c r="U25" s="52"/>
      <c r="AB25" s="164" t="s">
        <v>225</v>
      </c>
      <c r="AC25" s="161">
        <f>BP_38</f>
        <v>0.13500000000000001</v>
      </c>
      <c r="AD25" s="161">
        <f t="shared" si="0"/>
        <v>0</v>
      </c>
      <c r="AE25" s="161" t="str">
        <f t="shared" si="1"/>
        <v/>
      </c>
      <c r="AF25" s="171" t="str">
        <f t="shared" si="2"/>
        <v/>
      </c>
    </row>
    <row r="26" spans="1:32" ht="15" customHeight="1" x14ac:dyDescent="0.25">
      <c r="A26" s="1"/>
      <c r="B26" s="170"/>
      <c r="C26" s="170"/>
      <c r="D26" s="170"/>
      <c r="E26" s="170"/>
      <c r="F26" s="170"/>
      <c r="G26" s="170"/>
      <c r="H26" s="170"/>
      <c r="I26" s="170"/>
      <c r="J26" s="170"/>
      <c r="K26" s="191"/>
      <c r="L26" s="1"/>
      <c r="M26" s="1"/>
      <c r="N26" s="1"/>
      <c r="O26" s="2"/>
      <c r="P26" s="2"/>
      <c r="Q26" s="2"/>
      <c r="R26" s="2"/>
      <c r="S26" s="2"/>
      <c r="T26" s="52"/>
      <c r="U26" s="52"/>
      <c r="AB26" s="164" t="s">
        <v>226</v>
      </c>
      <c r="AC26" s="161">
        <f>BP_39</f>
        <v>7.4999999999999997E-2</v>
      </c>
      <c r="AD26" s="161">
        <f t="shared" si="0"/>
        <v>0</v>
      </c>
      <c r="AE26" s="161" t="str">
        <f t="shared" si="1"/>
        <v/>
      </c>
      <c r="AF26" s="171" t="str">
        <f t="shared" si="2"/>
        <v/>
      </c>
    </row>
    <row r="27" spans="1:32" ht="15" customHeight="1" x14ac:dyDescent="0.25">
      <c r="A27" s="1"/>
      <c r="B27" s="170"/>
      <c r="C27" s="170"/>
      <c r="D27" s="170"/>
      <c r="E27" s="170"/>
      <c r="F27" s="170"/>
      <c r="G27" s="170"/>
      <c r="H27" s="170"/>
      <c r="I27" s="170"/>
      <c r="J27" s="170"/>
      <c r="K27" s="191"/>
      <c r="L27" s="1"/>
      <c r="M27" s="1"/>
      <c r="N27" s="1"/>
      <c r="O27" s="2"/>
      <c r="P27" s="2"/>
      <c r="Q27" s="2"/>
      <c r="R27" s="2"/>
      <c r="S27" s="2"/>
      <c r="T27" s="52"/>
      <c r="U27" s="52"/>
      <c r="AB27" s="164" t="s">
        <v>227</v>
      </c>
      <c r="AC27" s="161">
        <f>BP_40</f>
        <v>0.1</v>
      </c>
      <c r="AD27" s="161">
        <f t="shared" si="0"/>
        <v>0</v>
      </c>
      <c r="AE27" s="161" t="str">
        <f t="shared" si="1"/>
        <v/>
      </c>
      <c r="AF27" s="171" t="str">
        <f t="shared" si="2"/>
        <v/>
      </c>
    </row>
    <row r="28" spans="1:32" ht="15" customHeight="1" x14ac:dyDescent="0.25">
      <c r="A28" s="1"/>
      <c r="B28" s="170"/>
      <c r="C28" s="170"/>
      <c r="D28" s="170"/>
      <c r="E28" s="170"/>
      <c r="F28" s="170"/>
      <c r="G28" s="170"/>
      <c r="H28" s="170"/>
      <c r="I28" s="170"/>
      <c r="J28" s="170"/>
      <c r="K28" s="191"/>
      <c r="L28" s="1"/>
      <c r="M28" s="1"/>
      <c r="N28" s="1"/>
      <c r="O28" s="2"/>
      <c r="P28" s="2"/>
      <c r="Q28" s="2"/>
      <c r="R28" s="2"/>
      <c r="S28" s="2"/>
      <c r="T28" s="52"/>
      <c r="U28" s="52"/>
      <c r="AB28" s="164" t="s">
        <v>228</v>
      </c>
      <c r="AC28" s="161">
        <f>F40</f>
        <v>0.08</v>
      </c>
      <c r="AD28" s="161">
        <f t="shared" si="0"/>
        <v>0</v>
      </c>
      <c r="AE28" s="161" t="str">
        <f t="shared" si="1"/>
        <v/>
      </c>
      <c r="AF28" s="171" t="str">
        <f t="shared" si="2"/>
        <v/>
      </c>
    </row>
    <row r="29" spans="1:32" ht="15" customHeight="1" thickBot="1" x14ac:dyDescent="0.3">
      <c r="A29" s="1"/>
      <c r="B29" s="170"/>
      <c r="C29" s="170"/>
      <c r="D29" s="170"/>
      <c r="E29" s="170"/>
      <c r="F29" s="170"/>
      <c r="G29" s="170"/>
      <c r="H29" s="170"/>
      <c r="I29" s="170"/>
      <c r="J29" s="170"/>
      <c r="K29" s="191"/>
      <c r="L29" s="1"/>
      <c r="M29" s="1"/>
      <c r="N29" s="1"/>
      <c r="O29" s="2"/>
      <c r="P29" s="2"/>
      <c r="Q29" s="2"/>
      <c r="R29" s="2"/>
      <c r="S29" s="2"/>
      <c r="T29" s="52"/>
      <c r="U29" s="52"/>
      <c r="AB29" s="165" t="s">
        <v>229</v>
      </c>
      <c r="AC29" s="166">
        <f>F41</f>
        <v>0.1</v>
      </c>
      <c r="AD29" s="166">
        <f t="shared" si="0"/>
        <v>0</v>
      </c>
      <c r="AE29" s="166" t="str">
        <f t="shared" si="1"/>
        <v/>
      </c>
      <c r="AF29" s="172" t="str">
        <f t="shared" si="2"/>
        <v/>
      </c>
    </row>
    <row r="30" spans="1:32" ht="15" customHeight="1" x14ac:dyDescent="0.25">
      <c r="A30" s="1"/>
      <c r="B30" s="170"/>
      <c r="C30" s="170"/>
      <c r="D30" s="170"/>
      <c r="E30" s="170"/>
      <c r="F30" s="170"/>
      <c r="G30" s="170"/>
      <c r="H30" s="170"/>
      <c r="I30" s="170"/>
      <c r="J30" s="170"/>
      <c r="K30" s="191"/>
      <c r="L30" s="1"/>
      <c r="M30" s="1"/>
      <c r="N30" s="1"/>
      <c r="O30" s="2"/>
      <c r="P30" s="2"/>
      <c r="Q30" s="2"/>
      <c r="R30" s="2"/>
      <c r="S30" s="2"/>
      <c r="T30" s="52"/>
      <c r="U30" s="52"/>
    </row>
    <row r="31" spans="1:32" ht="32.25" thickBot="1" x14ac:dyDescent="0.3">
      <c r="A31" s="1"/>
      <c r="B31" s="160" t="s">
        <v>78</v>
      </c>
      <c r="C31" s="47" t="s">
        <v>68</v>
      </c>
      <c r="D31" s="615" t="s">
        <v>219</v>
      </c>
      <c r="E31" s="63" t="s">
        <v>67</v>
      </c>
      <c r="F31" s="615" t="s">
        <v>220</v>
      </c>
      <c r="G31" s="615" t="s">
        <v>306</v>
      </c>
      <c r="O31" s="191"/>
      <c r="T31" s="52"/>
      <c r="U31" s="52"/>
    </row>
    <row r="32" spans="1:32" ht="15.75" customHeight="1" x14ac:dyDescent="0.25">
      <c r="A32" s="1"/>
      <c r="B32" s="158" t="s">
        <v>66</v>
      </c>
      <c r="C32" s="64">
        <f>Man_Credits</f>
        <v>20</v>
      </c>
      <c r="D32" s="625">
        <f>Man_tot_user</f>
        <v>0</v>
      </c>
      <c r="E32" s="622">
        <f>BP_11/BP_01</f>
        <v>0</v>
      </c>
      <c r="F32" s="618">
        <v>0.12</v>
      </c>
      <c r="G32" s="428">
        <f>BP_22*F32</f>
        <v>0</v>
      </c>
      <c r="O32" s="191"/>
      <c r="AA32" s="146" t="s">
        <v>14</v>
      </c>
      <c r="AB32" s="154" t="str">
        <f>Poeng!BE18</f>
        <v>Navn</v>
      </c>
      <c r="AC32" s="154" t="str">
        <f>AD19</f>
        <v>Building Performance</v>
      </c>
      <c r="AD32" s="154" t="e">
        <f>AE19</f>
        <v>#REF!</v>
      </c>
      <c r="AE32" s="155" t="e">
        <f>AF19</f>
        <v>#REF!</v>
      </c>
    </row>
    <row r="33" spans="1:31" ht="16.5" thickBot="1" x14ac:dyDescent="0.3">
      <c r="A33" s="1"/>
      <c r="B33" s="159" t="s">
        <v>69</v>
      </c>
      <c r="C33" s="65">
        <f>Hea_Credits</f>
        <v>20</v>
      </c>
      <c r="D33" s="626">
        <f>HW_tot_user</f>
        <v>0</v>
      </c>
      <c r="E33" s="623">
        <f>BP_12/BP_02</f>
        <v>0</v>
      </c>
      <c r="F33" s="619">
        <v>0.15</v>
      </c>
      <c r="G33" s="429">
        <f>BP_23*F33</f>
        <v>0</v>
      </c>
      <c r="O33" s="191"/>
      <c r="AA33" s="147" t="s">
        <v>15</v>
      </c>
      <c r="AB33" s="148" t="str">
        <f>Poeng!BE19</f>
        <v>Man 03</v>
      </c>
      <c r="AC33" s="149">
        <f>IF(D$7=$AA$32,Poeng!BF19,"")</f>
        <v>3</v>
      </c>
      <c r="AD33" s="149" t="str">
        <f>IF(F$7=$AA$32,Poeng!BG19,"")</f>
        <v/>
      </c>
      <c r="AE33" s="150" t="str">
        <f>IF(H$7=$AA$32,Poeng!BH19,"")</f>
        <v/>
      </c>
    </row>
    <row r="34" spans="1:31" s="41" customFormat="1" ht="15.75" x14ac:dyDescent="0.25">
      <c r="A34" s="1"/>
      <c r="B34" s="159" t="s">
        <v>70</v>
      </c>
      <c r="C34" s="65">
        <f>Ene_Credits</f>
        <v>22</v>
      </c>
      <c r="D34" s="626">
        <f>Ene_tot_user</f>
        <v>0</v>
      </c>
      <c r="E34" s="623">
        <f>BP_13/BP_03</f>
        <v>0</v>
      </c>
      <c r="F34" s="619">
        <v>0.19</v>
      </c>
      <c r="G34" s="429">
        <f>BP_24*F34</f>
        <v>0</v>
      </c>
      <c r="H34" s="40"/>
      <c r="I34" s="40"/>
      <c r="J34" s="40"/>
      <c r="K34" s="40"/>
      <c r="L34" s="40"/>
      <c r="M34" s="40"/>
      <c r="N34" s="40"/>
      <c r="O34" s="424"/>
      <c r="AA34" s="40"/>
      <c r="AB34" s="148" t="str">
        <f>Poeng!BE20</f>
        <v>Man 04</v>
      </c>
      <c r="AC34" s="149">
        <f>IF(D$7=$AA$32,Poeng!BF20,"")</f>
        <v>0</v>
      </c>
      <c r="AD34" s="149" t="str">
        <f>IF(F$7=$AA$32,Poeng!BG20,"")</f>
        <v/>
      </c>
      <c r="AE34" s="150" t="str">
        <f>IF(H$7=$AA$32,Poeng!BH20,"")</f>
        <v/>
      </c>
    </row>
    <row r="35" spans="1:31" s="41" customFormat="1" ht="15.75" x14ac:dyDescent="0.25">
      <c r="A35" s="1"/>
      <c r="B35" s="159" t="s">
        <v>71</v>
      </c>
      <c r="C35" s="65">
        <f>Tra_Credits</f>
        <v>9</v>
      </c>
      <c r="D35" s="626">
        <f>Tra_tot_user</f>
        <v>0</v>
      </c>
      <c r="E35" s="623">
        <f>BP_14/BP_04</f>
        <v>0</v>
      </c>
      <c r="F35" s="619">
        <v>0.1</v>
      </c>
      <c r="G35" s="429">
        <f>BP_25*F35</f>
        <v>0</v>
      </c>
      <c r="H35" s="40"/>
      <c r="I35" s="40"/>
      <c r="J35" s="40"/>
      <c r="K35" s="40"/>
      <c r="L35" s="40"/>
      <c r="M35" s="40"/>
      <c r="N35" s="40"/>
      <c r="O35" s="424"/>
      <c r="AA35" s="40"/>
      <c r="AB35" s="148" t="str">
        <f>Poeng!BE21</f>
        <v>Man 05</v>
      </c>
      <c r="AC35" s="149">
        <f>IF(D$7=$AA$32,Poeng!BF21,"")</f>
        <v>3</v>
      </c>
      <c r="AD35" s="149" t="str">
        <f>IF(F$7=$AA$32,Poeng!BG21,"")</f>
        <v/>
      </c>
      <c r="AE35" s="150" t="str">
        <f>IF(H$7=$AA$32,Poeng!BH21,"")</f>
        <v/>
      </c>
    </row>
    <row r="36" spans="1:31" s="41" customFormat="1" ht="15.75" x14ac:dyDescent="0.25">
      <c r="A36" s="1"/>
      <c r="B36" s="159" t="s">
        <v>63</v>
      </c>
      <c r="C36" s="65">
        <f>Wat_Credits</f>
        <v>8</v>
      </c>
      <c r="D36" s="626">
        <f>Wat_tot_user</f>
        <v>0</v>
      </c>
      <c r="E36" s="623">
        <f>BP_15/BP_05</f>
        <v>0</v>
      </c>
      <c r="F36" s="619">
        <v>0.05</v>
      </c>
      <c r="G36" s="429">
        <f>BP_26*F36</f>
        <v>0</v>
      </c>
      <c r="H36" s="40"/>
      <c r="I36" s="40"/>
      <c r="J36" s="40"/>
      <c r="K36" s="40"/>
      <c r="L36" s="40"/>
      <c r="M36" s="40"/>
      <c r="N36" s="40"/>
      <c r="O36" s="424"/>
      <c r="AA36" s="40"/>
      <c r="AB36" s="148" t="str">
        <f>Poeng!BE22</f>
        <v>Hea 01</v>
      </c>
      <c r="AC36" s="149">
        <f>IF(D$7=$AA$32,Poeng!BF22,"")</f>
        <v>0</v>
      </c>
      <c r="AD36" s="149" t="str">
        <f>IF(F$7=$AA$32,Poeng!BG22,"")</f>
        <v/>
      </c>
      <c r="AE36" s="150" t="str">
        <f>IF(H$7=$AA$32,Poeng!BH22,"")</f>
        <v/>
      </c>
    </row>
    <row r="37" spans="1:31" s="41" customFormat="1" ht="15.75" x14ac:dyDescent="0.25">
      <c r="A37" s="1"/>
      <c r="B37" s="159" t="s">
        <v>72</v>
      </c>
      <c r="C37" s="65">
        <f>Mat_Credits</f>
        <v>11</v>
      </c>
      <c r="D37" s="626">
        <f>Mat_tot_user</f>
        <v>0</v>
      </c>
      <c r="E37" s="623">
        <f>BP_16/BP_06</f>
        <v>0</v>
      </c>
      <c r="F37" s="620">
        <v>0.13500000000000001</v>
      </c>
      <c r="G37" s="429">
        <f>BP_27*F37</f>
        <v>0</v>
      </c>
      <c r="H37" s="40"/>
      <c r="I37" s="40"/>
      <c r="J37" s="40"/>
      <c r="K37" s="40"/>
      <c r="L37" s="40"/>
      <c r="M37" s="40"/>
      <c r="N37" s="40"/>
      <c r="O37" s="424"/>
      <c r="AA37" s="40"/>
      <c r="AB37" s="148" t="str">
        <f>Poeng!BE23</f>
        <v>Hea 02</v>
      </c>
      <c r="AC37" s="149">
        <f>IF(D$7=$AA$32,Poeng!BF23,"")</f>
        <v>2</v>
      </c>
      <c r="AD37" s="149" t="str">
        <f>IF(F$7=$AA$32,Poeng!BG23,"")</f>
        <v/>
      </c>
      <c r="AE37" s="150" t="str">
        <f>IF(H$7=$AA$32,Poeng!BH23,"")</f>
        <v/>
      </c>
    </row>
    <row r="38" spans="1:31" ht="15.75" x14ac:dyDescent="0.25">
      <c r="A38" s="1"/>
      <c r="B38" s="159" t="s">
        <v>73</v>
      </c>
      <c r="C38" s="65">
        <f>Wst_Credits</f>
        <v>6</v>
      </c>
      <c r="D38" s="626">
        <f>Wst_tot_user</f>
        <v>0</v>
      </c>
      <c r="E38" s="623">
        <f>BP_18/BP_07</f>
        <v>0</v>
      </c>
      <c r="F38" s="620">
        <v>7.4999999999999997E-2</v>
      </c>
      <c r="G38" s="429">
        <f>BP_28*F38</f>
        <v>0</v>
      </c>
      <c r="O38" s="191"/>
      <c r="AB38" s="148" t="str">
        <f>Poeng!BE24</f>
        <v/>
      </c>
      <c r="AC38" s="149" t="str">
        <f>IF(D$7=$AA$32,Poeng!BF24,"")</f>
        <v/>
      </c>
      <c r="AD38" s="149" t="str">
        <f>IF(F$7=$AA$32,Poeng!BG24,"")</f>
        <v/>
      </c>
      <c r="AE38" s="150" t="str">
        <f>IF(H$7=$AA$32,Poeng!BH24,"")</f>
        <v/>
      </c>
    </row>
    <row r="39" spans="1:31" ht="15.75" x14ac:dyDescent="0.25">
      <c r="A39" s="1"/>
      <c r="B39" s="159" t="s">
        <v>74</v>
      </c>
      <c r="C39" s="65">
        <f>LE_Credits</f>
        <v>10</v>
      </c>
      <c r="D39" s="626">
        <f>Lue_tot_user</f>
        <v>0</v>
      </c>
      <c r="E39" s="623">
        <f>BP_19/BP_08</f>
        <v>0</v>
      </c>
      <c r="F39" s="619">
        <v>0.1</v>
      </c>
      <c r="G39" s="429">
        <f>BP_29*F39</f>
        <v>0</v>
      </c>
      <c r="O39" s="191"/>
      <c r="AB39" s="148" t="str">
        <f>Poeng!BE25</f>
        <v>Hea 09</v>
      </c>
      <c r="AC39" s="149">
        <f>IF(D$7=$AA$32,Poeng!BF25,"")</f>
        <v>2</v>
      </c>
      <c r="AD39" s="149" t="str">
        <f>IF(F$7=$AA$32,Poeng!BG25,"")</f>
        <v/>
      </c>
      <c r="AE39" s="150" t="str">
        <f>IF(H$7=$AA$32,Poeng!BH25,"")</f>
        <v/>
      </c>
    </row>
    <row r="40" spans="1:31" ht="15.75" customHeight="1" x14ac:dyDescent="0.25">
      <c r="A40" s="1"/>
      <c r="B40" s="159" t="s">
        <v>75</v>
      </c>
      <c r="C40" s="65">
        <f>Pol_Credits</f>
        <v>13</v>
      </c>
      <c r="D40" s="626">
        <f>Pol_tot_user</f>
        <v>0</v>
      </c>
      <c r="E40" s="623">
        <f>BP_20/BP_09</f>
        <v>0</v>
      </c>
      <c r="F40" s="619">
        <v>0.08</v>
      </c>
      <c r="G40" s="429">
        <f>BP_30*F40</f>
        <v>0</v>
      </c>
      <c r="O40" s="191"/>
      <c r="AB40" s="148" t="str">
        <f>Poeng!BE26</f>
        <v>Ene 01</v>
      </c>
      <c r="AC40" s="149">
        <f>IF(D$7=$AA$32,Poeng!BF26,"")</f>
        <v>3</v>
      </c>
      <c r="AD40" s="149" t="str">
        <f>IF(F$7=$AA$32,Poeng!BG26,"")</f>
        <v/>
      </c>
      <c r="AE40" s="150" t="str">
        <f>IF(H$7=$AA$32,Poeng!BH26,"")</f>
        <v/>
      </c>
    </row>
    <row r="41" spans="1:31" ht="15.75" x14ac:dyDescent="0.25">
      <c r="A41" s="1"/>
      <c r="B41" s="159" t="s">
        <v>76</v>
      </c>
      <c r="C41" s="65">
        <f>Inn_Credits</f>
        <v>10</v>
      </c>
      <c r="D41" s="626">
        <f>Inn_tot_user</f>
        <v>0</v>
      </c>
      <c r="E41" s="623">
        <f>BP_21/BP_10</f>
        <v>0</v>
      </c>
      <c r="F41" s="619">
        <v>0.1</v>
      </c>
      <c r="G41" s="429">
        <f>BP_31*F41</f>
        <v>0</v>
      </c>
      <c r="O41" s="191"/>
      <c r="AB41" s="148" t="str">
        <f>Poeng!BE27</f>
        <v>Ene 02</v>
      </c>
      <c r="AC41" s="149">
        <f>IF(D$7=$AA$32,Poeng!BF27,"")</f>
        <v>2</v>
      </c>
      <c r="AD41" s="149" t="str">
        <f>IF(F$7=$AA$32,Poeng!BG27,"")</f>
        <v/>
      </c>
      <c r="AE41" s="150" t="str">
        <f>IF(H$7=$AA$32,Poeng!BH27,"")</f>
        <v/>
      </c>
    </row>
    <row r="42" spans="1:31" ht="15.75" x14ac:dyDescent="0.25">
      <c r="A42" s="1"/>
      <c r="B42" s="167" t="s">
        <v>231</v>
      </c>
      <c r="C42" s="169">
        <f>SUM(C32:C41)</f>
        <v>129</v>
      </c>
      <c r="D42" s="627">
        <f>SUM(D32:D41)</f>
        <v>0</v>
      </c>
      <c r="E42" s="624"/>
      <c r="F42" s="621"/>
      <c r="G42" s="430">
        <f>IF(SUM(G32:G41)&gt;1,1,SUM(G32:G41))</f>
        <v>0</v>
      </c>
      <c r="O42" s="231"/>
      <c r="P42" s="52"/>
      <c r="Q42" s="52"/>
      <c r="AB42" s="148" t="str">
        <f>Poeng!BE28</f>
        <v>Ene 04</v>
      </c>
      <c r="AC42" s="149">
        <f>IF(D$7=$AA$32,Poeng!BF28,"")</f>
        <v>3</v>
      </c>
      <c r="AD42" s="149" t="str">
        <f>IF(F$7=$AA$32,Poeng!BG28,"")</f>
        <v/>
      </c>
      <c r="AE42" s="150" t="str">
        <f>IF(H$7=$AA$32,Poeng!BH28,"")</f>
        <v/>
      </c>
    </row>
    <row r="43" spans="1:31" ht="15.75" x14ac:dyDescent="0.25">
      <c r="A43" s="1"/>
      <c r="B43" s="168" t="s">
        <v>89</v>
      </c>
      <c r="C43" s="67"/>
      <c r="D43" s="67"/>
      <c r="E43" s="67"/>
      <c r="F43" s="67"/>
      <c r="G43" s="66" t="str">
        <f>D8</f>
        <v>Unclassified</v>
      </c>
      <c r="O43" s="231"/>
      <c r="P43" s="52"/>
      <c r="Q43" s="52"/>
      <c r="R43" s="52"/>
      <c r="S43" s="52"/>
      <c r="T43" s="52"/>
      <c r="U43" s="52"/>
      <c r="AB43" s="148" t="str">
        <f>Poeng!BE29</f>
        <v>Ene 23</v>
      </c>
      <c r="AC43" s="149">
        <f>IF(D$7=$AA$32,Poeng!BF29,"")</f>
        <v>4</v>
      </c>
      <c r="AD43" s="149" t="str">
        <f>IF(F$7=$AA$32,Poeng!BG29,"")</f>
        <v/>
      </c>
      <c r="AE43" s="150" t="str">
        <f>IF(H$7=$AA$32,Poeng!BH29,"")</f>
        <v/>
      </c>
    </row>
    <row r="44" spans="1:31" ht="15.75" x14ac:dyDescent="0.25">
      <c r="A44" s="177"/>
      <c r="B44" s="168" t="s">
        <v>84</v>
      </c>
      <c r="C44" s="67"/>
      <c r="D44" s="67"/>
      <c r="E44" s="67"/>
      <c r="F44" s="67"/>
      <c r="G44" s="66" t="str">
        <f>D10</f>
        <v>Unclassified</v>
      </c>
      <c r="O44" s="68"/>
      <c r="P44" s="69"/>
      <c r="Q44" s="69"/>
      <c r="R44" s="69"/>
      <c r="S44" s="69"/>
      <c r="T44" s="52"/>
      <c r="U44" s="52"/>
      <c r="AB44" s="148" t="str">
        <f>Poeng!BE30</f>
        <v>Wat 01</v>
      </c>
      <c r="AC44" s="149">
        <f>IF(D$7=$AA$32,Poeng!BF30,"")</f>
        <v>3</v>
      </c>
      <c r="AD44" s="149" t="str">
        <f>IF(F$7=$AA$32,Poeng!BG30,"")</f>
        <v/>
      </c>
      <c r="AE44" s="150" t="str">
        <f>IF(H$7=$AA$32,Poeng!BH30,"")</f>
        <v/>
      </c>
    </row>
    <row r="45" spans="1:31" s="23" customFormat="1" x14ac:dyDescent="0.25">
      <c r="B45" s="1"/>
      <c r="C45" s="1"/>
      <c r="D45" s="1"/>
      <c r="E45" s="1"/>
      <c r="F45" s="1"/>
      <c r="G45" s="616" t="str">
        <f>IF(Poeng!AT112=1,Poeng!AL117,"")</f>
        <v/>
      </c>
      <c r="H45" s="1"/>
      <c r="I45" s="1"/>
      <c r="L45" s="1"/>
      <c r="M45" s="1"/>
      <c r="O45" s="70"/>
      <c r="P45" s="70"/>
      <c r="Q45" s="70"/>
      <c r="R45" s="70"/>
      <c r="S45" s="70"/>
      <c r="T45" s="70"/>
      <c r="U45" s="70"/>
      <c r="AA45" s="40"/>
      <c r="AB45" s="148" t="str">
        <f>Poeng!BE31</f>
        <v>Mat 01</v>
      </c>
      <c r="AC45" s="149">
        <f>IF(D$7=$AA$32,Poeng!BF31,"")</f>
        <v>5</v>
      </c>
      <c r="AD45" s="149" t="str">
        <f>IF(F$7=$AA$32,Poeng!BG31,"")</f>
        <v/>
      </c>
      <c r="AE45" s="150" t="str">
        <f>IF(H$7=$AA$32,Poeng!BH31,"")</f>
        <v/>
      </c>
    </row>
    <row r="46" spans="1:31" s="23" customFormat="1" x14ac:dyDescent="0.25">
      <c r="B46" s="1"/>
      <c r="C46" s="1"/>
      <c r="D46" s="1"/>
      <c r="E46" s="1"/>
      <c r="F46" s="1"/>
      <c r="G46" s="1"/>
      <c r="H46" s="1"/>
      <c r="I46" s="1"/>
      <c r="J46" s="1"/>
      <c r="K46" s="1"/>
      <c r="L46" s="1"/>
      <c r="M46" s="1"/>
      <c r="AA46" s="40"/>
      <c r="AB46" s="148" t="str">
        <f>Poeng!BE32</f>
        <v>Mat 03</v>
      </c>
      <c r="AC46" s="149">
        <f>IF(D$7=$AA$32,Poeng!BF32,"")</f>
        <v>0</v>
      </c>
      <c r="AD46" s="149" t="str">
        <f>IF(F$7=$AA$32,Poeng!BG32,"")</f>
        <v/>
      </c>
      <c r="AE46" s="150" t="str">
        <f>IF(H$7=$AA$32,Poeng!BH32,"")</f>
        <v/>
      </c>
    </row>
    <row r="47" spans="1:31" s="1" customFormat="1" ht="15.75" thickBot="1" x14ac:dyDescent="0.3">
      <c r="AA47" s="40"/>
      <c r="AB47" s="151" t="str">
        <f>Poeng!BE33</f>
        <v>Wst 01</v>
      </c>
      <c r="AC47" s="152">
        <f>IF(D$7=$AA$32,Poeng!BF33,"")</f>
        <v>4</v>
      </c>
      <c r="AD47" s="152" t="str">
        <f>IF(F$7=$AA$32,Poeng!BG33,"")</f>
        <v/>
      </c>
      <c r="AE47" s="153" t="str">
        <f>IF(H$7=$AA$32,Poeng!BH33,"")</f>
        <v/>
      </c>
    </row>
    <row r="48" spans="1:31" s="1" customFormat="1" ht="19.5" thickBot="1" x14ac:dyDescent="0.35">
      <c r="B48" s="21" t="s">
        <v>930</v>
      </c>
      <c r="C48" s="9"/>
      <c r="D48" s="9"/>
      <c r="E48" s="9"/>
      <c r="F48" s="628"/>
      <c r="G48" s="628"/>
      <c r="H48" s="628"/>
      <c r="I48" s="628"/>
      <c r="J48" s="628"/>
      <c r="K48" s="628"/>
      <c r="L48" s="629"/>
      <c r="M48" s="629"/>
      <c r="AA48" s="37"/>
      <c r="AB48" s="151" t="str">
        <f>Poeng!BE34</f>
        <v>Wst 03</v>
      </c>
      <c r="AC48" s="152">
        <f>IF(D$7=$AA$32,Poeng!BF34,"")</f>
        <v>3</v>
      </c>
      <c r="AD48" s="152" t="str">
        <f>IF(F$7=$AA$32,Poeng!BG34,"")</f>
        <v/>
      </c>
      <c r="AE48" s="153" t="str">
        <f>IF(H$7=$AA$32,Poeng!BH34,"")</f>
        <v/>
      </c>
    </row>
    <row r="49" spans="1:16" s="1" customFormat="1" x14ac:dyDescent="0.25"/>
    <row r="50" spans="1:16" s="1" customFormat="1" ht="30" x14ac:dyDescent="0.3">
      <c r="B50" s="643"/>
      <c r="F50" s="642" t="s">
        <v>1213</v>
      </c>
      <c r="G50" s="642" t="s">
        <v>946</v>
      </c>
      <c r="H50" s="1312" t="s">
        <v>932</v>
      </c>
      <c r="I50" s="1311" t="s">
        <v>1145</v>
      </c>
      <c r="J50" s="1310" t="s">
        <v>933</v>
      </c>
      <c r="K50" s="1309" t="s">
        <v>504</v>
      </c>
      <c r="L50" s="1308" t="s">
        <v>465</v>
      </c>
      <c r="M50" s="1307" t="s">
        <v>504</v>
      </c>
      <c r="N50" s="616"/>
    </row>
    <row r="51" spans="1:16" ht="18.75" x14ac:dyDescent="0.3">
      <c r="A51" s="191"/>
      <c r="B51" s="632" t="s">
        <v>931</v>
      </c>
      <c r="C51" s="639"/>
      <c r="D51" s="639"/>
      <c r="E51" s="639"/>
      <c r="F51" s="639"/>
      <c r="G51" s="510"/>
      <c r="H51" s="510"/>
      <c r="I51" s="509"/>
      <c r="J51" s="510"/>
      <c r="K51" s="510"/>
      <c r="L51" s="113"/>
      <c r="M51" s="633"/>
      <c r="N51" s="1"/>
      <c r="O51" s="191"/>
    </row>
    <row r="52" spans="1:16" x14ac:dyDescent="0.25">
      <c r="A52" s="191"/>
      <c r="B52" s="634" t="str">
        <f>'Assessment Issue Scoring'!D391</f>
        <v>Calculated delivered energy demand to achieve an energy label C</v>
      </c>
      <c r="C52" s="635"/>
      <c r="D52" s="635"/>
      <c r="E52" s="635"/>
      <c r="F52" s="631" t="s">
        <v>146</v>
      </c>
      <c r="G52" s="631">
        <v>1</v>
      </c>
      <c r="H52" s="631" t="s">
        <v>574</v>
      </c>
      <c r="I52" s="631" t="s">
        <v>575</v>
      </c>
      <c r="J52" s="1299">
        <f>KPI_35</f>
        <v>0</v>
      </c>
      <c r="K52" s="631" t="s">
        <v>1092</v>
      </c>
      <c r="L52" s="688">
        <f>J52*AD_GIA</f>
        <v>0</v>
      </c>
      <c r="M52" s="631" t="s">
        <v>699</v>
      </c>
      <c r="N52" s="1"/>
      <c r="O52" s="191"/>
    </row>
    <row r="53" spans="1:16" x14ac:dyDescent="0.25">
      <c r="A53" s="191"/>
      <c r="B53" s="640" t="str">
        <f>'Assessment Issue Scoring'!D392</f>
        <v>Calculated actual delivered energy demand</v>
      </c>
      <c r="C53" s="641"/>
      <c r="D53" s="641"/>
      <c r="E53" s="641"/>
      <c r="F53" s="631" t="s">
        <v>146</v>
      </c>
      <c r="G53" s="631">
        <v>1</v>
      </c>
      <c r="H53" s="631" t="s">
        <v>574</v>
      </c>
      <c r="I53" s="631" t="s">
        <v>575</v>
      </c>
      <c r="J53" s="1299">
        <f>KPI_36</f>
        <v>0</v>
      </c>
      <c r="K53" s="631" t="s">
        <v>1092</v>
      </c>
      <c r="L53" s="688">
        <f>J52*AD_GIA</f>
        <v>0</v>
      </c>
      <c r="M53" s="631" t="s">
        <v>699</v>
      </c>
      <c r="N53" s="1"/>
      <c r="O53" s="191"/>
    </row>
    <row r="54" spans="1:16" x14ac:dyDescent="0.25">
      <c r="A54" s="191"/>
      <c r="B54" s="640" t="str">
        <f>'Assessment Issue Scoring'!D1224</f>
        <v>Energy consumption - space heating</v>
      </c>
      <c r="C54" s="641"/>
      <c r="D54" s="641"/>
      <c r="E54" s="641"/>
      <c r="F54" s="631" t="s">
        <v>1156</v>
      </c>
      <c r="G54" s="631">
        <v>1</v>
      </c>
      <c r="H54" s="631" t="s">
        <v>574</v>
      </c>
      <c r="I54" s="631" t="s">
        <v>575</v>
      </c>
      <c r="J54" s="1299">
        <f>KPI_33</f>
        <v>0</v>
      </c>
      <c r="K54" s="631" t="s">
        <v>1092</v>
      </c>
      <c r="L54" s="688">
        <f>J53*AD_GIA</f>
        <v>0</v>
      </c>
      <c r="M54" s="631" t="s">
        <v>699</v>
      </c>
      <c r="N54" s="1"/>
      <c r="O54" s="191"/>
    </row>
    <row r="55" spans="1:16" x14ac:dyDescent="0.25">
      <c r="A55" s="191"/>
      <c r="B55" s="640" t="str">
        <f>'Assessment Issue Scoring'!D1225</f>
        <v>Energy consumption - ventilation heating</v>
      </c>
      <c r="C55" s="641"/>
      <c r="D55" s="641"/>
      <c r="E55" s="641"/>
      <c r="F55" s="631" t="s">
        <v>1156</v>
      </c>
      <c r="G55" s="631">
        <v>1</v>
      </c>
      <c r="H55" s="631" t="s">
        <v>574</v>
      </c>
      <c r="I55" s="631" t="s">
        <v>575</v>
      </c>
      <c r="J55" s="1299">
        <f>KPI_33a</f>
        <v>0</v>
      </c>
      <c r="K55" s="631" t="s">
        <v>1092</v>
      </c>
      <c r="L55" s="688">
        <f>J54*AD_GIA</f>
        <v>0</v>
      </c>
      <c r="M55" s="631" t="s">
        <v>699</v>
      </c>
      <c r="N55" s="1"/>
      <c r="O55" s="191"/>
    </row>
    <row r="56" spans="1:16" x14ac:dyDescent="0.25">
      <c r="A56" s="191"/>
      <c r="B56" s="640" t="str">
        <f>'Assessment Issue Scoring'!D1226</f>
        <v>Energy consumption - hot water</v>
      </c>
      <c r="C56" s="641"/>
      <c r="D56" s="641"/>
      <c r="E56" s="641"/>
      <c r="F56" s="631" t="s">
        <v>1156</v>
      </c>
      <c r="G56" s="631">
        <v>1</v>
      </c>
      <c r="H56" s="631" t="s">
        <v>574</v>
      </c>
      <c r="I56" s="631" t="s">
        <v>575</v>
      </c>
      <c r="J56" s="1299">
        <f>KPI_33b</f>
        <v>0</v>
      </c>
      <c r="K56" s="631" t="s">
        <v>1092</v>
      </c>
      <c r="L56" s="688">
        <f>J55*AD_GIA</f>
        <v>0</v>
      </c>
      <c r="M56" s="631" t="s">
        <v>699</v>
      </c>
      <c r="N56" s="1"/>
      <c r="O56" s="702"/>
    </row>
    <row r="57" spans="1:16" x14ac:dyDescent="0.25">
      <c r="A57" s="191"/>
      <c r="B57" s="636" t="s">
        <v>948</v>
      </c>
      <c r="C57" s="637"/>
      <c r="D57" s="637"/>
      <c r="E57" s="637"/>
      <c r="F57" s="208"/>
      <c r="G57" s="208">
        <v>2</v>
      </c>
      <c r="H57" s="208" t="s">
        <v>574</v>
      </c>
      <c r="I57" s="208" t="s">
        <v>575</v>
      </c>
      <c r="J57" s="696" t="s">
        <v>667</v>
      </c>
      <c r="K57" s="208" t="s">
        <v>1092</v>
      </c>
      <c r="L57" s="696" t="s">
        <v>667</v>
      </c>
      <c r="M57" s="208" t="s">
        <v>699</v>
      </c>
      <c r="N57" s="1"/>
      <c r="O57" s="702"/>
    </row>
    <row r="58" spans="1:16" x14ac:dyDescent="0.25">
      <c r="A58" s="191"/>
      <c r="B58" s="636" t="s">
        <v>949</v>
      </c>
      <c r="C58" s="637"/>
      <c r="D58" s="637"/>
      <c r="E58" s="637"/>
      <c r="F58" s="208" t="s">
        <v>99</v>
      </c>
      <c r="G58" s="208">
        <v>3</v>
      </c>
      <c r="H58" s="208" t="s">
        <v>1</v>
      </c>
      <c r="I58" s="208" t="s">
        <v>572</v>
      </c>
      <c r="J58" s="696" t="str">
        <f>IF(KPI_03=O58,"INA",KPI_03)</f>
        <v>INA</v>
      </c>
      <c r="K58" s="208" t="s">
        <v>516</v>
      </c>
      <c r="L58" s="696">
        <f>KPI_02</f>
        <v>0</v>
      </c>
      <c r="M58" s="208" t="s">
        <v>508</v>
      </c>
      <c r="N58" s="1"/>
      <c r="O58" s="702" t="s">
        <v>1144</v>
      </c>
      <c r="P58"/>
    </row>
    <row r="59" spans="1:16" x14ac:dyDescent="0.25">
      <c r="A59" s="191"/>
      <c r="B59" s="636" t="s">
        <v>71</v>
      </c>
      <c r="C59" s="637"/>
      <c r="D59" s="637"/>
      <c r="E59" s="637"/>
      <c r="F59" s="208" t="s">
        <v>99</v>
      </c>
      <c r="G59" s="208">
        <v>4</v>
      </c>
      <c r="H59" s="208" t="s">
        <v>1</v>
      </c>
      <c r="I59" s="208" t="s">
        <v>572</v>
      </c>
      <c r="J59" s="1300">
        <f>IFERROR(L59/(KPI_04+KPI_05),0)</f>
        <v>0</v>
      </c>
      <c r="K59" s="208" t="s">
        <v>524</v>
      </c>
      <c r="L59" s="696">
        <f>KPI_06+KPI_07</f>
        <v>0</v>
      </c>
      <c r="M59" s="208" t="s">
        <v>523</v>
      </c>
      <c r="N59" s="1"/>
      <c r="O59" s="702"/>
    </row>
    <row r="60" spans="1:16" x14ac:dyDescent="0.25">
      <c r="A60" s="191"/>
      <c r="B60" s="617"/>
      <c r="C60" s="617"/>
      <c r="D60" s="617"/>
      <c r="E60" s="617"/>
      <c r="N60" s="1"/>
      <c r="O60" s="702"/>
    </row>
    <row r="61" spans="1:16" ht="18.75" x14ac:dyDescent="0.3">
      <c r="A61" s="191"/>
      <c r="B61" s="632" t="s">
        <v>934</v>
      </c>
      <c r="C61" s="639"/>
      <c r="D61" s="639"/>
      <c r="E61" s="639"/>
      <c r="F61" s="510"/>
      <c r="G61" s="510"/>
      <c r="H61" s="510"/>
      <c r="I61" s="509"/>
      <c r="J61" s="510"/>
      <c r="K61" s="510"/>
      <c r="L61" s="113"/>
      <c r="M61" s="633"/>
      <c r="N61" s="1"/>
      <c r="O61" s="702"/>
      <c r="P61" s="49"/>
    </row>
    <row r="62" spans="1:16" x14ac:dyDescent="0.25">
      <c r="A62" s="191"/>
      <c r="B62" s="634" t="s">
        <v>947</v>
      </c>
      <c r="C62" s="635"/>
      <c r="D62" s="635"/>
      <c r="E62" s="635"/>
      <c r="F62" s="631"/>
      <c r="G62" s="631">
        <v>1</v>
      </c>
      <c r="H62" s="631" t="s">
        <v>574</v>
      </c>
      <c r="I62" s="631" t="s">
        <v>575</v>
      </c>
      <c r="J62" s="1299" t="s">
        <v>667</v>
      </c>
      <c r="K62" s="631" t="s">
        <v>1106</v>
      </c>
      <c r="L62" s="688" t="s">
        <v>667</v>
      </c>
      <c r="M62" s="631" t="s">
        <v>950</v>
      </c>
      <c r="N62" s="1"/>
      <c r="O62" s="702"/>
    </row>
    <row r="63" spans="1:16" x14ac:dyDescent="0.25">
      <c r="A63" s="191"/>
      <c r="B63" s="640" t="s">
        <v>1101</v>
      </c>
      <c r="C63" s="641"/>
      <c r="D63" s="641"/>
      <c r="E63" s="641"/>
      <c r="F63" s="631" t="s">
        <v>189</v>
      </c>
      <c r="G63" s="631">
        <v>5</v>
      </c>
      <c r="H63" s="631" t="s">
        <v>961</v>
      </c>
      <c r="I63" s="631" t="s">
        <v>575</v>
      </c>
      <c r="J63" s="1299">
        <f>KPI_27a</f>
        <v>0</v>
      </c>
      <c r="K63" s="631" t="s">
        <v>1106</v>
      </c>
      <c r="L63" s="688">
        <f>J63*AD_GIA</f>
        <v>0</v>
      </c>
      <c r="M63" s="631" t="s">
        <v>950</v>
      </c>
      <c r="N63" s="1"/>
      <c r="O63" s="702"/>
    </row>
    <row r="64" spans="1:16" x14ac:dyDescent="0.25">
      <c r="A64" s="191"/>
      <c r="B64" s="636" t="s">
        <v>1102</v>
      </c>
      <c r="C64" s="637"/>
      <c r="D64" s="637"/>
      <c r="E64" s="637"/>
      <c r="F64" s="208" t="s">
        <v>189</v>
      </c>
      <c r="G64" s="208">
        <v>5</v>
      </c>
      <c r="H64" s="208" t="s">
        <v>961</v>
      </c>
      <c r="I64" s="208" t="s">
        <v>575</v>
      </c>
      <c r="J64" s="1300">
        <f>KPI_27b</f>
        <v>0</v>
      </c>
      <c r="K64" s="208" t="s">
        <v>1106</v>
      </c>
      <c r="L64" s="696">
        <f>J64*AD_GIA</f>
        <v>0</v>
      </c>
      <c r="M64" s="208" t="s">
        <v>950</v>
      </c>
      <c r="N64" s="1"/>
      <c r="O64" s="702"/>
    </row>
    <row r="65" spans="1:15" x14ac:dyDescent="0.25">
      <c r="A65" s="191"/>
      <c r="B65" s="636" t="s">
        <v>737</v>
      </c>
      <c r="C65" s="637"/>
      <c r="D65" s="637"/>
      <c r="E65" s="637"/>
      <c r="F65" s="208" t="s">
        <v>189</v>
      </c>
      <c r="G65" s="208">
        <v>5</v>
      </c>
      <c r="H65" s="208" t="s">
        <v>961</v>
      </c>
      <c r="I65" s="208" t="s">
        <v>575</v>
      </c>
      <c r="J65" s="1300"/>
      <c r="K65" s="208"/>
      <c r="L65" s="697" t="str">
        <f>IF(KPI_27=O65,"INA",KPI_27)</f>
        <v>INA</v>
      </c>
      <c r="M65" s="208"/>
      <c r="N65" s="1"/>
      <c r="O65" s="702" t="s">
        <v>545</v>
      </c>
    </row>
    <row r="66" spans="1:15" x14ac:dyDescent="0.25">
      <c r="A66" s="191"/>
      <c r="B66" s="636" t="s">
        <v>949</v>
      </c>
      <c r="C66" s="637"/>
      <c r="D66" s="637"/>
      <c r="E66" s="637"/>
      <c r="F66" s="208" t="s">
        <v>99</v>
      </c>
      <c r="G66" s="208">
        <v>3</v>
      </c>
      <c r="H66" s="208" t="s">
        <v>1</v>
      </c>
      <c r="I66" s="208" t="s">
        <v>575</v>
      </c>
      <c r="J66" s="1300" t="str">
        <f>IF(KPI_11=O58,"INA",KPI_11)</f>
        <v>INA</v>
      </c>
      <c r="K66" s="208" t="s">
        <v>526</v>
      </c>
      <c r="L66" s="696">
        <f>KPI_10</f>
        <v>0</v>
      </c>
      <c r="M66" s="208" t="s">
        <v>525</v>
      </c>
      <c r="N66" s="1"/>
      <c r="O66" s="702"/>
    </row>
    <row r="67" spans="1:15" x14ac:dyDescent="0.25">
      <c r="A67" s="191"/>
      <c r="B67" s="636" t="s">
        <v>71</v>
      </c>
      <c r="C67" s="637"/>
      <c r="D67" s="637"/>
      <c r="E67" s="637"/>
      <c r="F67" s="208" t="s">
        <v>99</v>
      </c>
      <c r="G67" s="208">
        <v>4</v>
      </c>
      <c r="H67" s="208" t="s">
        <v>1</v>
      </c>
      <c r="I67" s="208" t="s">
        <v>575</v>
      </c>
      <c r="J67" s="1300">
        <f>IFERROR(L67/(KPI_04+KPI_05),0)</f>
        <v>0</v>
      </c>
      <c r="K67" s="208" t="s">
        <v>527</v>
      </c>
      <c r="L67" s="696">
        <f>KPI_12+KPI_13</f>
        <v>0</v>
      </c>
      <c r="M67" s="208" t="s">
        <v>525</v>
      </c>
      <c r="N67" s="1"/>
      <c r="O67" s="191"/>
    </row>
    <row r="68" spans="1:15" x14ac:dyDescent="0.25">
      <c r="A68" s="191"/>
      <c r="B68" s="636" t="s">
        <v>951</v>
      </c>
      <c r="C68" s="637"/>
      <c r="D68" s="637"/>
      <c r="E68" s="637"/>
      <c r="F68" s="208" t="s">
        <v>1155</v>
      </c>
      <c r="G68" s="208">
        <v>5</v>
      </c>
      <c r="H68" s="208" t="s">
        <v>574</v>
      </c>
      <c r="I68" s="208" t="s">
        <v>575</v>
      </c>
      <c r="J68" s="1300">
        <f>KPI_34</f>
        <v>0</v>
      </c>
      <c r="K68" s="208" t="s">
        <v>1132</v>
      </c>
      <c r="L68" s="696">
        <f>J68*KPI_34a</f>
        <v>0</v>
      </c>
      <c r="M68" s="208" t="s">
        <v>525</v>
      </c>
      <c r="N68" s="1"/>
      <c r="O68" s="191"/>
    </row>
    <row r="69" spans="1:15" x14ac:dyDescent="0.25">
      <c r="A69" s="191"/>
      <c r="B69" s="617"/>
      <c r="C69" s="617"/>
      <c r="D69" s="617"/>
      <c r="E69" s="617"/>
      <c r="N69" s="1"/>
      <c r="O69" s="191"/>
    </row>
    <row r="70" spans="1:15" ht="18.75" x14ac:dyDescent="0.3">
      <c r="A70" s="191"/>
      <c r="B70" s="632" t="s">
        <v>935</v>
      </c>
      <c r="C70" s="639"/>
      <c r="D70" s="639"/>
      <c r="E70" s="639"/>
      <c r="F70" s="510"/>
      <c r="G70" s="510"/>
      <c r="H70" s="510"/>
      <c r="I70" s="509"/>
      <c r="J70" s="510"/>
      <c r="K70" s="510"/>
      <c r="L70" s="113"/>
      <c r="M70" s="633"/>
      <c r="N70" s="1"/>
      <c r="O70" s="191"/>
    </row>
    <row r="71" spans="1:15" x14ac:dyDescent="0.25">
      <c r="A71" s="191"/>
      <c r="B71" s="640" t="s">
        <v>558</v>
      </c>
      <c r="C71" s="641"/>
      <c r="D71" s="641"/>
      <c r="E71" s="641"/>
      <c r="F71" s="631" t="s">
        <v>1156</v>
      </c>
      <c r="G71" s="631">
        <v>6</v>
      </c>
      <c r="H71" s="631" t="s">
        <v>574</v>
      </c>
      <c r="I71" s="631" t="s">
        <v>575</v>
      </c>
      <c r="J71" s="1299">
        <f>KPI_30</f>
        <v>0</v>
      </c>
      <c r="K71" s="631" t="s">
        <v>491</v>
      </c>
      <c r="L71" s="688">
        <f>J71*L54/1000</f>
        <v>0</v>
      </c>
      <c r="M71" s="631" t="s">
        <v>936</v>
      </c>
      <c r="N71" s="1"/>
      <c r="O71" s="191"/>
    </row>
    <row r="72" spans="1:15" x14ac:dyDescent="0.25">
      <c r="A72" s="191"/>
      <c r="B72" s="636" t="s">
        <v>569</v>
      </c>
      <c r="C72" s="637"/>
      <c r="D72" s="637"/>
      <c r="E72" s="637"/>
      <c r="F72" s="208" t="s">
        <v>1156</v>
      </c>
      <c r="G72" s="208">
        <v>6</v>
      </c>
      <c r="H72" s="208" t="s">
        <v>574</v>
      </c>
      <c r="I72" s="208" t="s">
        <v>575</v>
      </c>
      <c r="J72" s="1300">
        <f>KPI_31</f>
        <v>0</v>
      </c>
      <c r="K72" s="208" t="s">
        <v>491</v>
      </c>
      <c r="L72" s="688">
        <f t="shared" ref="L72:L73" si="3">J72*L55/1000</f>
        <v>0</v>
      </c>
      <c r="M72" s="208" t="s">
        <v>936</v>
      </c>
      <c r="N72" s="1"/>
      <c r="O72" s="191"/>
    </row>
    <row r="73" spans="1:15" x14ac:dyDescent="0.25">
      <c r="A73" s="191"/>
      <c r="B73" s="636" t="s">
        <v>492</v>
      </c>
      <c r="C73" s="637"/>
      <c r="D73" s="637"/>
      <c r="E73" s="637"/>
      <c r="F73" s="208" t="s">
        <v>1156</v>
      </c>
      <c r="G73" s="208">
        <v>6</v>
      </c>
      <c r="H73" s="208" t="s">
        <v>574</v>
      </c>
      <c r="I73" s="208" t="s">
        <v>575</v>
      </c>
      <c r="J73" s="1300">
        <f>KPI_32</f>
        <v>0</v>
      </c>
      <c r="K73" s="208" t="s">
        <v>491</v>
      </c>
      <c r="L73" s="688">
        <f t="shared" si="3"/>
        <v>0</v>
      </c>
      <c r="M73" s="208" t="s">
        <v>936</v>
      </c>
      <c r="N73" s="1"/>
      <c r="O73" s="191"/>
    </row>
    <row r="74" spans="1:15" x14ac:dyDescent="0.25">
      <c r="A74" s="191"/>
      <c r="B74" s="617"/>
      <c r="C74" s="617"/>
      <c r="D74" s="617"/>
      <c r="E74" s="617"/>
      <c r="J74" s="698"/>
      <c r="L74" s="698"/>
      <c r="N74" s="1"/>
      <c r="O74" s="191"/>
    </row>
    <row r="75" spans="1:15" ht="18.75" x14ac:dyDescent="0.3">
      <c r="A75" s="191"/>
      <c r="B75" s="632" t="s">
        <v>937</v>
      </c>
      <c r="C75" s="639"/>
      <c r="D75" s="639"/>
      <c r="E75" s="639"/>
      <c r="F75" s="510"/>
      <c r="G75" s="510"/>
      <c r="H75" s="510"/>
      <c r="I75" s="509"/>
      <c r="J75" s="699"/>
      <c r="K75" s="510"/>
      <c r="L75" s="700"/>
      <c r="M75" s="633"/>
      <c r="N75" s="1"/>
      <c r="O75" s="191"/>
    </row>
    <row r="76" spans="1:15" x14ac:dyDescent="0.25">
      <c r="A76" s="191"/>
      <c r="B76" s="640" t="s">
        <v>947</v>
      </c>
      <c r="C76" s="641"/>
      <c r="D76" s="641"/>
      <c r="E76" s="641"/>
      <c r="F76" s="631" t="s">
        <v>185</v>
      </c>
      <c r="G76" s="631">
        <v>7</v>
      </c>
      <c r="H76" s="631" t="s">
        <v>574</v>
      </c>
      <c r="I76" s="631" t="s">
        <v>575</v>
      </c>
      <c r="J76" s="1299">
        <f>KPI_22</f>
        <v>1</v>
      </c>
      <c r="K76" s="631" t="s">
        <v>425</v>
      </c>
      <c r="L76" s="688">
        <f>J76*KPI_23</f>
        <v>1</v>
      </c>
      <c r="M76" s="631" t="s">
        <v>695</v>
      </c>
      <c r="N76" s="1"/>
      <c r="O76" s="191"/>
    </row>
    <row r="77" spans="1:15" x14ac:dyDescent="0.25">
      <c r="A77" s="191"/>
      <c r="B77" s="636" t="s">
        <v>949</v>
      </c>
      <c r="C77" s="637"/>
      <c r="D77" s="637"/>
      <c r="E77" s="637"/>
      <c r="F77" s="208" t="s">
        <v>99</v>
      </c>
      <c r="G77" s="208">
        <v>8</v>
      </c>
      <c r="H77" s="208" t="s">
        <v>574</v>
      </c>
      <c r="I77" s="208" t="s">
        <v>572</v>
      </c>
      <c r="J77" s="1300" t="str">
        <f>IF(KPI_17=O58,"INA",KPI_17)</f>
        <v>INA</v>
      </c>
      <c r="K77" s="208" t="s">
        <v>529</v>
      </c>
      <c r="L77" s="696">
        <f>KPI_16</f>
        <v>0</v>
      </c>
      <c r="M77" s="208" t="s">
        <v>528</v>
      </c>
      <c r="N77" s="1"/>
      <c r="O77" s="191"/>
    </row>
    <row r="78" spans="1:15" x14ac:dyDescent="0.25">
      <c r="A78" s="191"/>
      <c r="B78" s="617"/>
      <c r="C78" s="617"/>
      <c r="D78" s="617"/>
      <c r="E78" s="617"/>
      <c r="J78" s="1301"/>
      <c r="L78" s="698"/>
      <c r="N78" s="1"/>
      <c r="O78" s="191"/>
    </row>
    <row r="79" spans="1:15" ht="18.75" x14ac:dyDescent="0.3">
      <c r="A79" s="191"/>
      <c r="B79" s="632" t="s">
        <v>938</v>
      </c>
      <c r="C79" s="639"/>
      <c r="D79" s="639"/>
      <c r="E79" s="639"/>
      <c r="F79" s="510"/>
      <c r="G79" s="510"/>
      <c r="H79" s="510"/>
      <c r="I79" s="509"/>
      <c r="J79" s="1302"/>
      <c r="K79" s="510"/>
      <c r="L79" s="700"/>
      <c r="M79" s="633"/>
      <c r="N79" s="1"/>
      <c r="O79" s="191"/>
    </row>
    <row r="80" spans="1:15" x14ac:dyDescent="0.25">
      <c r="A80" s="191"/>
      <c r="B80" s="640" t="s">
        <v>952</v>
      </c>
      <c r="C80" s="641"/>
      <c r="D80" s="641"/>
      <c r="E80" s="641"/>
      <c r="F80" s="631" t="s">
        <v>193</v>
      </c>
      <c r="G80" s="631">
        <v>9</v>
      </c>
      <c r="H80" s="631" t="s">
        <v>1</v>
      </c>
      <c r="I80" s="631" t="s">
        <v>572</v>
      </c>
      <c r="J80" s="1299">
        <f>KPI_28</f>
        <v>0</v>
      </c>
      <c r="K80" s="631" t="str">
        <f>KPI_28u</f>
        <v>tonnes/100m2</v>
      </c>
      <c r="L80" s="688">
        <f>IFERROR(J80*AD_GIA/100,0)</f>
        <v>0</v>
      </c>
      <c r="M80" s="631" t="str">
        <f>IF(KPI_28u='Assessment Issue Scoring'!L964,"tonnes","m3")</f>
        <v>tonnes</v>
      </c>
      <c r="N80" s="1"/>
      <c r="O80" s="191"/>
    </row>
    <row r="81" spans="1:15" x14ac:dyDescent="0.25">
      <c r="A81" s="191"/>
      <c r="B81" s="636" t="s">
        <v>714</v>
      </c>
      <c r="C81" s="637"/>
      <c r="D81" s="637"/>
      <c r="E81" s="637"/>
      <c r="F81" s="208" t="s">
        <v>193</v>
      </c>
      <c r="G81" s="208">
        <v>9</v>
      </c>
      <c r="H81" s="208" t="s">
        <v>1</v>
      </c>
      <c r="I81" s="208" t="s">
        <v>572</v>
      </c>
      <c r="J81" s="1300">
        <f>KPI_29</f>
        <v>0</v>
      </c>
      <c r="K81" s="638" t="str">
        <f>KPI_29u</f>
        <v>tonnes/100m2</v>
      </c>
      <c r="L81" s="696">
        <f>IFERROR(J81*AD_GIA/100,0)</f>
        <v>0</v>
      </c>
      <c r="M81" s="208" t="str">
        <f>IF(KPI_29u='Assessment Issue Scoring'!L964,"tonnes","m3")</f>
        <v>tonnes</v>
      </c>
      <c r="N81" s="1"/>
      <c r="O81" s="191"/>
    </row>
    <row r="82" spans="1:15" x14ac:dyDescent="0.25">
      <c r="A82" s="191"/>
      <c r="B82" s="636" t="s">
        <v>714</v>
      </c>
      <c r="C82" s="637"/>
      <c r="D82" s="637"/>
      <c r="E82" s="637"/>
      <c r="F82" s="208" t="s">
        <v>193</v>
      </c>
      <c r="G82" s="208">
        <v>9</v>
      </c>
      <c r="H82" s="208" t="s">
        <v>1</v>
      </c>
      <c r="I82" s="208" t="s">
        <v>572</v>
      </c>
      <c r="J82" s="1303" t="str">
        <f>IF(KPI_29a=AIS_PS,"INA",KPI_29a)</f>
        <v>INA</v>
      </c>
      <c r="K82" s="637"/>
      <c r="L82" s="688" t="s">
        <v>254</v>
      </c>
      <c r="M82" s="631" t="s">
        <v>254</v>
      </c>
      <c r="N82" s="1"/>
      <c r="O82" s="191"/>
    </row>
    <row r="83" spans="1:15" x14ac:dyDescent="0.25">
      <c r="A83" s="191"/>
      <c r="B83" s="617"/>
      <c r="C83" s="617"/>
      <c r="D83" s="617"/>
      <c r="E83" s="617"/>
      <c r="J83" s="1301"/>
      <c r="L83" s="698"/>
      <c r="N83" s="1"/>
      <c r="O83" s="191"/>
    </row>
    <row r="84" spans="1:15" ht="18.75" x14ac:dyDescent="0.3">
      <c r="A84" s="191"/>
      <c r="B84" s="632" t="s">
        <v>939</v>
      </c>
      <c r="C84" s="639"/>
      <c r="D84" s="639"/>
      <c r="E84" s="639"/>
      <c r="F84" s="510"/>
      <c r="G84" s="510"/>
      <c r="H84" s="510"/>
      <c r="I84" s="509"/>
      <c r="J84" s="1302"/>
      <c r="K84" s="510"/>
      <c r="L84" s="700"/>
      <c r="M84" s="633"/>
      <c r="N84" s="1"/>
      <c r="O84" s="191"/>
    </row>
    <row r="85" spans="1:15" x14ac:dyDescent="0.25">
      <c r="A85" s="191"/>
      <c r="B85" s="640" t="s">
        <v>953</v>
      </c>
      <c r="C85" s="641"/>
      <c r="D85" s="641"/>
      <c r="E85" s="641"/>
      <c r="F85" s="631" t="s">
        <v>190</v>
      </c>
      <c r="G85" s="631">
        <v>10</v>
      </c>
      <c r="H85" s="631" t="s">
        <v>1</v>
      </c>
      <c r="I85" s="631" t="s">
        <v>572</v>
      </c>
      <c r="J85" s="1299">
        <f>KPI_37</f>
        <v>0</v>
      </c>
      <c r="K85" s="631"/>
      <c r="L85" s="688" t="s">
        <v>254</v>
      </c>
      <c r="M85" s="631" t="s">
        <v>254</v>
      </c>
      <c r="N85" s="1"/>
      <c r="O85" s="191"/>
    </row>
    <row r="86" spans="1:15" x14ac:dyDescent="0.25">
      <c r="A86" s="191"/>
      <c r="B86" s="636" t="s">
        <v>1111</v>
      </c>
      <c r="C86" s="637"/>
      <c r="D86" s="637"/>
      <c r="E86" s="637"/>
      <c r="F86" s="208" t="s">
        <v>189</v>
      </c>
      <c r="G86" s="208">
        <v>11</v>
      </c>
      <c r="H86" s="631" t="s">
        <v>1</v>
      </c>
      <c r="I86" s="631" t="s">
        <v>572</v>
      </c>
      <c r="J86" s="1300" t="str">
        <f>IF(KPI_24=AIS_PS,"INA",KPI_24)</f>
        <v>INA</v>
      </c>
      <c r="K86" s="208"/>
      <c r="L86" s="688" t="s">
        <v>254</v>
      </c>
      <c r="M86" s="631" t="s">
        <v>254</v>
      </c>
      <c r="N86" s="1"/>
      <c r="O86" s="191"/>
    </row>
    <row r="87" spans="1:15" x14ac:dyDescent="0.25">
      <c r="A87" s="191"/>
      <c r="B87" s="636" t="s">
        <v>1112</v>
      </c>
      <c r="C87" s="637"/>
      <c r="D87" s="637"/>
      <c r="E87" s="637"/>
      <c r="F87" s="208" t="s">
        <v>189</v>
      </c>
      <c r="G87" s="208">
        <v>11</v>
      </c>
      <c r="H87" s="631" t="s">
        <v>1</v>
      </c>
      <c r="I87" s="631" t="s">
        <v>572</v>
      </c>
      <c r="J87" s="1300" t="str">
        <f>IF(KPI_25=AIS_PS,"INA",KPI_25)</f>
        <v>INA</v>
      </c>
      <c r="K87" s="208"/>
      <c r="L87" s="688" t="s">
        <v>254</v>
      </c>
      <c r="M87" s="631" t="s">
        <v>254</v>
      </c>
      <c r="N87" s="1"/>
      <c r="O87" s="191"/>
    </row>
    <row r="88" spans="1:15" ht="30" customHeight="1" x14ac:dyDescent="0.25">
      <c r="A88" s="191"/>
      <c r="B88" s="1398" t="s">
        <v>1113</v>
      </c>
      <c r="C88" s="1399"/>
      <c r="D88" s="1399"/>
      <c r="E88" s="1400"/>
      <c r="F88" s="208" t="s">
        <v>189</v>
      </c>
      <c r="G88" s="208">
        <v>11</v>
      </c>
      <c r="H88" s="631" t="s">
        <v>1</v>
      </c>
      <c r="I88" s="631" t="s">
        <v>572</v>
      </c>
      <c r="J88" s="1300" t="str">
        <f>IF(KPI_26=AIS_PS,"INA",KPI_26)</f>
        <v>INA</v>
      </c>
      <c r="K88" s="208"/>
      <c r="L88" s="688" t="s">
        <v>254</v>
      </c>
      <c r="M88" s="631" t="s">
        <v>254</v>
      </c>
      <c r="N88" s="1"/>
      <c r="O88" s="191"/>
    </row>
    <row r="89" spans="1:15" x14ac:dyDescent="0.25">
      <c r="A89" s="191"/>
      <c r="B89" s="617"/>
      <c r="C89" s="617"/>
      <c r="D89" s="617"/>
      <c r="E89" s="617"/>
      <c r="J89" s="1301"/>
      <c r="L89" s="698"/>
      <c r="N89" s="1"/>
      <c r="O89" s="191"/>
    </row>
    <row r="90" spans="1:15" ht="18.75" x14ac:dyDescent="0.3">
      <c r="A90" s="191"/>
      <c r="B90" s="632" t="s">
        <v>886</v>
      </c>
      <c r="C90" s="639"/>
      <c r="D90" s="639"/>
      <c r="E90" s="639"/>
      <c r="F90" s="510"/>
      <c r="G90" s="510"/>
      <c r="H90" s="510"/>
      <c r="I90" s="509"/>
      <c r="J90" s="1302"/>
      <c r="K90" s="510"/>
      <c r="L90" s="700"/>
      <c r="M90" s="633"/>
      <c r="N90" s="1"/>
      <c r="O90" s="191"/>
    </row>
    <row r="91" spans="1:15" x14ac:dyDescent="0.25">
      <c r="A91" s="191"/>
      <c r="B91" s="640" t="s">
        <v>388</v>
      </c>
      <c r="C91" s="641"/>
      <c r="D91" s="641"/>
      <c r="E91" s="641"/>
      <c r="F91" s="631" t="s">
        <v>127</v>
      </c>
      <c r="G91" s="631">
        <v>12</v>
      </c>
      <c r="H91" s="631" t="s">
        <v>574</v>
      </c>
      <c r="I91" s="631" t="s">
        <v>575</v>
      </c>
      <c r="J91" s="1299">
        <f>KPI_20</f>
        <v>0</v>
      </c>
      <c r="K91" s="631" t="s">
        <v>422</v>
      </c>
      <c r="L91" s="688" t="s">
        <v>254</v>
      </c>
      <c r="M91" s="631" t="s">
        <v>254</v>
      </c>
      <c r="N91" s="1"/>
      <c r="O91" s="191"/>
    </row>
    <row r="92" spans="1:15" x14ac:dyDescent="0.25">
      <c r="A92" s="191"/>
      <c r="B92" s="636" t="s">
        <v>389</v>
      </c>
      <c r="C92" s="637"/>
      <c r="D92" s="637"/>
      <c r="E92" s="637"/>
      <c r="F92" s="208" t="s">
        <v>127</v>
      </c>
      <c r="G92" s="208" t="s">
        <v>943</v>
      </c>
      <c r="H92" s="208" t="s">
        <v>574</v>
      </c>
      <c r="I92" s="208" t="s">
        <v>575</v>
      </c>
      <c r="J92" s="1300">
        <f>KPI_21</f>
        <v>0</v>
      </c>
      <c r="K92" s="208" t="s">
        <v>940</v>
      </c>
      <c r="L92" s="688" t="s">
        <v>254</v>
      </c>
      <c r="M92" s="631" t="s">
        <v>254</v>
      </c>
      <c r="N92" s="1"/>
      <c r="O92" s="191"/>
    </row>
    <row r="93" spans="1:15" x14ac:dyDescent="0.25">
      <c r="A93" s="191"/>
      <c r="B93" s="617"/>
      <c r="C93" s="617"/>
      <c r="D93" s="617"/>
      <c r="E93" s="617"/>
      <c r="J93" s="1304"/>
      <c r="N93" s="1"/>
      <c r="O93" s="191"/>
    </row>
    <row r="94" spans="1:15" ht="18.75" x14ac:dyDescent="0.3">
      <c r="A94" s="191"/>
      <c r="B94" s="632" t="s">
        <v>941</v>
      </c>
      <c r="C94" s="639"/>
      <c r="D94" s="639"/>
      <c r="E94" s="639"/>
      <c r="F94" s="510"/>
      <c r="G94" s="510"/>
      <c r="H94" s="510"/>
      <c r="I94" s="509"/>
      <c r="J94" s="1305"/>
      <c r="K94" s="510"/>
      <c r="L94" s="113"/>
      <c r="M94" s="633"/>
      <c r="N94" s="1"/>
      <c r="O94" s="191"/>
    </row>
    <row r="95" spans="1:15" x14ac:dyDescent="0.25">
      <c r="A95" s="191"/>
      <c r="B95" s="640" t="s">
        <v>954</v>
      </c>
      <c r="C95" s="641"/>
      <c r="D95" s="641"/>
      <c r="E95" s="641"/>
      <c r="F95" s="631" t="s">
        <v>126</v>
      </c>
      <c r="G95" s="631">
        <v>13</v>
      </c>
      <c r="H95" s="631" t="s">
        <v>574</v>
      </c>
      <c r="I95" s="631" t="s">
        <v>572</v>
      </c>
      <c r="J95" s="1299">
        <f>KPI_18</f>
        <v>0</v>
      </c>
      <c r="K95" s="631" t="s">
        <v>530</v>
      </c>
      <c r="L95" s="690" t="s">
        <v>254</v>
      </c>
      <c r="M95" s="689" t="s">
        <v>254</v>
      </c>
      <c r="N95" s="1"/>
      <c r="O95" s="191"/>
    </row>
    <row r="96" spans="1:15" x14ac:dyDescent="0.25">
      <c r="A96" s="191"/>
      <c r="B96" s="636" t="s">
        <v>955</v>
      </c>
      <c r="C96" s="637"/>
      <c r="D96" s="637"/>
      <c r="E96" s="637"/>
      <c r="F96" s="208" t="s">
        <v>126</v>
      </c>
      <c r="G96" s="208">
        <v>13</v>
      </c>
      <c r="H96" s="208" t="s">
        <v>1</v>
      </c>
      <c r="I96" s="208" t="s">
        <v>572</v>
      </c>
      <c r="J96" s="1300">
        <f>KPI_19</f>
        <v>0</v>
      </c>
      <c r="K96" s="208" t="s">
        <v>530</v>
      </c>
      <c r="L96" s="690" t="s">
        <v>254</v>
      </c>
      <c r="M96" s="689" t="s">
        <v>254</v>
      </c>
      <c r="N96" s="1"/>
      <c r="O96" s="191"/>
    </row>
    <row r="97" spans="1:15" x14ac:dyDescent="0.25">
      <c r="A97" s="191"/>
      <c r="J97" s="1306"/>
      <c r="K97" s="22"/>
      <c r="L97" s="191"/>
      <c r="M97" s="191"/>
      <c r="N97" s="1"/>
      <c r="O97" s="191"/>
    </row>
    <row r="98" spans="1:15" ht="18.75" x14ac:dyDescent="0.3">
      <c r="A98" s="191"/>
      <c r="B98" s="632" t="s">
        <v>1214</v>
      </c>
      <c r="C98" s="639"/>
      <c r="D98" s="639"/>
      <c r="E98" s="639"/>
      <c r="F98" s="510"/>
      <c r="G98" s="510"/>
      <c r="H98" s="510"/>
      <c r="I98" s="509"/>
      <c r="J98" s="1305"/>
      <c r="K98" s="510"/>
      <c r="L98" s="113"/>
      <c r="M98" s="633"/>
      <c r="N98" s="1"/>
      <c r="O98" s="191"/>
    </row>
    <row r="99" spans="1:15" x14ac:dyDescent="0.25">
      <c r="A99" s="191"/>
      <c r="B99" s="640" t="s">
        <v>867</v>
      </c>
      <c r="C99" s="641"/>
      <c r="D99" s="641"/>
      <c r="E99" s="641"/>
      <c r="F99" s="631" t="s">
        <v>98</v>
      </c>
      <c r="G99" s="631"/>
      <c r="H99" s="631" t="s">
        <v>1</v>
      </c>
      <c r="I99" s="631" t="s">
        <v>575</v>
      </c>
      <c r="J99" s="1299">
        <f>KPI_01</f>
        <v>0</v>
      </c>
      <c r="K99" s="631" t="s">
        <v>1215</v>
      </c>
      <c r="L99" s="690" t="s">
        <v>254</v>
      </c>
      <c r="M99" s="689" t="s">
        <v>254</v>
      </c>
      <c r="N99" s="1"/>
      <c r="O99" s="191"/>
    </row>
    <row r="100" spans="1:15" x14ac:dyDescent="0.25">
      <c r="A100" s="191"/>
      <c r="J100" s="1306"/>
      <c r="K100" s="22"/>
      <c r="L100" s="191"/>
      <c r="M100" s="191"/>
      <c r="N100" s="1"/>
      <c r="O100" s="191"/>
    </row>
    <row r="101" spans="1:15" ht="18.75" x14ac:dyDescent="0.3">
      <c r="A101" s="191"/>
      <c r="B101" s="691" t="s">
        <v>942</v>
      </c>
      <c r="C101" s="692"/>
      <c r="D101" s="692"/>
      <c r="E101" s="693"/>
      <c r="F101" s="692"/>
      <c r="G101" s="692"/>
      <c r="H101" s="692"/>
      <c r="I101" s="692"/>
      <c r="J101" s="694"/>
      <c r="K101" s="694"/>
      <c r="L101" s="694"/>
      <c r="M101" s="695"/>
      <c r="N101" s="1"/>
      <c r="O101" s="191"/>
    </row>
    <row r="102" spans="1:15" ht="15" customHeight="1" x14ac:dyDescent="0.25">
      <c r="A102" s="191"/>
      <c r="B102" s="1396" t="s">
        <v>1098</v>
      </c>
      <c r="C102" s="1396"/>
      <c r="D102" s="1396"/>
      <c r="E102" s="1396"/>
      <c r="F102" s="1396"/>
      <c r="G102" s="1396"/>
      <c r="H102" s="1396"/>
      <c r="I102" s="1396"/>
      <c r="J102" s="1396"/>
      <c r="K102" s="1396"/>
      <c r="L102" s="1396"/>
      <c r="M102" s="1396"/>
      <c r="N102" s="1"/>
      <c r="O102" s="191"/>
    </row>
    <row r="103" spans="1:15" ht="30" customHeight="1" x14ac:dyDescent="0.25">
      <c r="A103" s="191"/>
      <c r="B103" s="1396" t="s">
        <v>956</v>
      </c>
      <c r="C103" s="1396"/>
      <c r="D103" s="1396"/>
      <c r="E103" s="1396"/>
      <c r="F103" s="1396"/>
      <c r="G103" s="1396"/>
      <c r="H103" s="1396"/>
      <c r="I103" s="1396"/>
      <c r="J103" s="1396"/>
      <c r="K103" s="1396"/>
      <c r="L103" s="1396"/>
      <c r="M103" s="1396"/>
      <c r="N103" s="1"/>
      <c r="O103" s="191"/>
    </row>
    <row r="104" spans="1:15" x14ac:dyDescent="0.25">
      <c r="A104" s="191"/>
      <c r="B104" s="1393" t="s">
        <v>957</v>
      </c>
      <c r="C104" s="1394"/>
      <c r="D104" s="1394"/>
      <c r="E104" s="1394"/>
      <c r="F104" s="1394"/>
      <c r="G104" s="1394"/>
      <c r="H104" s="1394"/>
      <c r="I104" s="1394"/>
      <c r="J104" s="1394"/>
      <c r="K104" s="1394"/>
      <c r="L104" s="1394"/>
      <c r="M104" s="1395"/>
      <c r="N104" s="1"/>
      <c r="O104" s="191"/>
    </row>
    <row r="105" spans="1:15" ht="66.75" customHeight="1" x14ac:dyDescent="0.25">
      <c r="A105" s="191"/>
      <c r="B105" s="1393" t="s">
        <v>1099</v>
      </c>
      <c r="C105" s="1394"/>
      <c r="D105" s="1394"/>
      <c r="E105" s="1394"/>
      <c r="F105" s="1394"/>
      <c r="G105" s="1394"/>
      <c r="H105" s="1394"/>
      <c r="I105" s="1394"/>
      <c r="J105" s="1394"/>
      <c r="K105" s="1394"/>
      <c r="L105" s="1394"/>
      <c r="M105" s="1395"/>
      <c r="N105" s="191"/>
      <c r="O105" s="191"/>
    </row>
    <row r="106" spans="1:15" ht="48" customHeight="1" x14ac:dyDescent="0.25">
      <c r="A106" s="191"/>
      <c r="B106" s="1393" t="s">
        <v>1107</v>
      </c>
      <c r="C106" s="1394"/>
      <c r="D106" s="1394"/>
      <c r="E106" s="1394"/>
      <c r="F106" s="1394"/>
      <c r="G106" s="1394"/>
      <c r="H106" s="1394"/>
      <c r="I106" s="1394"/>
      <c r="J106" s="1394"/>
      <c r="K106" s="1394"/>
      <c r="L106" s="1394"/>
      <c r="M106" s="1395"/>
      <c r="N106" s="191"/>
      <c r="O106" s="191"/>
    </row>
    <row r="107" spans="1:15" x14ac:dyDescent="0.25">
      <c r="A107" s="191"/>
      <c r="B107" s="1396" t="s">
        <v>958</v>
      </c>
      <c r="C107" s="1396"/>
      <c r="D107" s="1396"/>
      <c r="E107" s="1396"/>
      <c r="F107" s="1396"/>
      <c r="G107" s="1396"/>
      <c r="H107" s="1396"/>
      <c r="I107" s="1396"/>
      <c r="J107" s="1396"/>
      <c r="K107" s="1396"/>
      <c r="L107" s="1396"/>
      <c r="M107" s="1396"/>
      <c r="N107" s="191"/>
      <c r="O107" s="191"/>
    </row>
    <row r="108" spans="1:15" ht="31.5" customHeight="1" x14ac:dyDescent="0.25">
      <c r="B108" s="1393" t="s">
        <v>1110</v>
      </c>
      <c r="C108" s="1394"/>
      <c r="D108" s="1394"/>
      <c r="E108" s="1394"/>
      <c r="F108" s="1394"/>
      <c r="G108" s="1394"/>
      <c r="H108" s="1394"/>
      <c r="I108" s="1394"/>
      <c r="J108" s="1394"/>
      <c r="K108" s="1394"/>
      <c r="L108" s="1394"/>
      <c r="M108" s="1395"/>
    </row>
    <row r="109" spans="1:15" ht="41.25" customHeight="1" x14ac:dyDescent="0.25">
      <c r="B109" s="1393" t="s">
        <v>959</v>
      </c>
      <c r="C109" s="1394"/>
      <c r="D109" s="1394"/>
      <c r="E109" s="1394"/>
      <c r="F109" s="1394"/>
      <c r="G109" s="1394"/>
      <c r="H109" s="1394"/>
      <c r="I109" s="1394"/>
      <c r="J109" s="1394"/>
      <c r="K109" s="1394"/>
      <c r="L109" s="1394"/>
      <c r="M109" s="1395"/>
    </row>
    <row r="110" spans="1:15" ht="43.5" customHeight="1" x14ac:dyDescent="0.25">
      <c r="B110" s="1393" t="s">
        <v>960</v>
      </c>
      <c r="C110" s="1394"/>
      <c r="D110" s="1394"/>
      <c r="E110" s="1394"/>
      <c r="F110" s="1394"/>
      <c r="G110" s="1394"/>
      <c r="H110" s="1394"/>
      <c r="I110" s="1394"/>
      <c r="J110" s="1394"/>
      <c r="K110" s="1394"/>
      <c r="L110" s="1394"/>
      <c r="M110" s="1395"/>
    </row>
    <row r="111" spans="1:15" ht="60.75" customHeight="1" x14ac:dyDescent="0.25">
      <c r="B111" s="1393" t="s">
        <v>1115</v>
      </c>
      <c r="C111" s="1394"/>
      <c r="D111" s="1394"/>
      <c r="E111" s="1394"/>
      <c r="F111" s="1394"/>
      <c r="G111" s="1394"/>
      <c r="H111" s="1394"/>
      <c r="I111" s="1394"/>
      <c r="J111" s="1394"/>
      <c r="K111" s="1394"/>
      <c r="L111" s="1394"/>
      <c r="M111" s="1395"/>
    </row>
    <row r="112" spans="1:15" ht="46.5" customHeight="1" x14ac:dyDescent="0.25">
      <c r="B112" s="1393" t="s">
        <v>1118</v>
      </c>
      <c r="C112" s="1394"/>
      <c r="D112" s="1394"/>
      <c r="E112" s="1394"/>
      <c r="F112" s="1394"/>
      <c r="G112" s="1394"/>
      <c r="H112" s="1394"/>
      <c r="I112" s="1394"/>
      <c r="J112" s="1394"/>
      <c r="K112" s="1394"/>
      <c r="L112" s="1394"/>
      <c r="M112" s="1395"/>
    </row>
    <row r="113" spans="2:13" ht="39.75" customHeight="1" x14ac:dyDescent="0.25">
      <c r="B113" s="1393" t="s">
        <v>1116</v>
      </c>
      <c r="C113" s="1394"/>
      <c r="D113" s="1394"/>
      <c r="E113" s="1394"/>
      <c r="F113" s="1394"/>
      <c r="G113" s="1394"/>
      <c r="H113" s="1394"/>
      <c r="I113" s="1394"/>
      <c r="J113" s="1394"/>
      <c r="K113" s="1394"/>
      <c r="L113" s="1394"/>
      <c r="M113" s="1395"/>
    </row>
    <row r="114" spans="2:13" ht="33" customHeight="1" x14ac:dyDescent="0.25">
      <c r="B114" s="1393" t="s">
        <v>1117</v>
      </c>
      <c r="C114" s="1394"/>
      <c r="D114" s="1394"/>
      <c r="E114" s="1394"/>
      <c r="F114" s="1394"/>
      <c r="G114" s="1394"/>
      <c r="H114" s="1394"/>
      <c r="I114" s="1394"/>
      <c r="J114" s="1394"/>
      <c r="K114" s="1394"/>
      <c r="L114" s="1394"/>
      <c r="M114" s="1395"/>
    </row>
    <row r="115" spans="2:13" ht="52.5" customHeight="1" x14ac:dyDescent="0.25">
      <c r="B115" s="1393" t="s">
        <v>1119</v>
      </c>
      <c r="C115" s="1394"/>
      <c r="D115" s="1394"/>
      <c r="E115" s="1394"/>
      <c r="F115" s="1394"/>
      <c r="G115" s="1394"/>
      <c r="H115" s="1394"/>
      <c r="I115" s="1394"/>
      <c r="J115" s="1394"/>
      <c r="K115" s="1394"/>
      <c r="L115" s="1394"/>
      <c r="M115" s="1395"/>
    </row>
    <row r="116" spans="2:13" ht="39" customHeight="1" x14ac:dyDescent="0.25">
      <c r="B116" s="1393" t="s">
        <v>944</v>
      </c>
      <c r="C116" s="1394"/>
      <c r="D116" s="1394"/>
      <c r="E116" s="1394"/>
      <c r="F116" s="1394"/>
      <c r="G116" s="1394"/>
      <c r="H116" s="1394"/>
      <c r="I116" s="1394"/>
      <c r="J116" s="1394"/>
      <c r="K116" s="1394"/>
      <c r="L116" s="1394"/>
      <c r="M116" s="1395"/>
    </row>
    <row r="117" spans="2:13" ht="27" customHeight="1" x14ac:dyDescent="0.25">
      <c r="B117" s="1393" t="s">
        <v>945</v>
      </c>
      <c r="C117" s="1394"/>
      <c r="D117" s="1394"/>
      <c r="E117" s="1394"/>
      <c r="F117" s="1394"/>
      <c r="G117" s="1394"/>
      <c r="H117" s="1394"/>
      <c r="I117" s="1394"/>
      <c r="J117" s="1394"/>
      <c r="K117" s="1394"/>
      <c r="L117" s="1394"/>
      <c r="M117" s="1395"/>
    </row>
    <row r="128" spans="2:13" ht="18.75" x14ac:dyDescent="0.3">
      <c r="B128" s="21" t="s">
        <v>1284</v>
      </c>
      <c r="C128" s="9"/>
      <c r="D128" s="9"/>
      <c r="E128" s="9"/>
      <c r="F128" s="628"/>
      <c r="G128" s="628"/>
      <c r="H128" s="628"/>
      <c r="I128" s="628"/>
      <c r="J128" s="628"/>
      <c r="K128" s="1316" t="str">
        <f>IF('Assessment Issue Scoring'!T4=AIS_No,"Not applicable","")</f>
        <v>Not applicable</v>
      </c>
    </row>
    <row r="129" spans="2:11" x14ac:dyDescent="0.25">
      <c r="B129" s="1"/>
      <c r="C129" s="1"/>
      <c r="D129" s="1"/>
      <c r="E129" s="1"/>
      <c r="F129" s="1"/>
      <c r="G129" s="1"/>
      <c r="H129" s="1"/>
      <c r="I129" s="1"/>
      <c r="J129" s="1"/>
      <c r="K129" s="1"/>
    </row>
    <row r="130" spans="2:11" x14ac:dyDescent="0.25">
      <c r="B130" s="1313" t="s">
        <v>1213</v>
      </c>
      <c r="C130" s="1391" t="s">
        <v>1286</v>
      </c>
      <c r="D130" s="1392"/>
      <c r="E130" s="3"/>
      <c r="F130" s="630"/>
      <c r="G130" s="630"/>
      <c r="H130" s="630"/>
      <c r="I130" s="630"/>
      <c r="J130" s="630"/>
      <c r="K130" s="1315" t="s">
        <v>1285</v>
      </c>
    </row>
    <row r="131" spans="2:11" x14ac:dyDescent="0.25">
      <c r="B131" s="208" t="str">
        <f>'Assessment Issue Scoring'!AD177</f>
        <v>Hea 01</v>
      </c>
      <c r="C131" s="637" t="str">
        <f>'Assessment Issue Scoring'!AE177</f>
        <v>Glare control</v>
      </c>
      <c r="D131" s="637"/>
      <c r="E131" s="637"/>
      <c r="F131" s="637"/>
      <c r="G131" s="637"/>
      <c r="H131" s="637"/>
      <c r="I131" s="637"/>
      <c r="J131" s="1314"/>
      <c r="K131" s="208" t="str">
        <f>'Assessment Issue Scoring'!AF177</f>
        <v>N/A</v>
      </c>
    </row>
    <row r="132" spans="2:11" x14ac:dyDescent="0.25">
      <c r="B132" s="208" t="str">
        <f>'Assessment Issue Scoring'!AD178</f>
        <v>Hea 01</v>
      </c>
      <c r="C132" s="637" t="str">
        <f>'Assessment Issue Scoring'!AE178</f>
        <v>Artificial lighting</v>
      </c>
      <c r="D132" s="637"/>
      <c r="E132" s="637"/>
      <c r="F132" s="637"/>
      <c r="G132" s="637"/>
      <c r="H132" s="637"/>
      <c r="I132" s="637"/>
      <c r="J132" s="1314"/>
      <c r="K132" s="208" t="str">
        <f>'Assessment Issue Scoring'!AF178</f>
        <v>N/A</v>
      </c>
    </row>
    <row r="133" spans="2:11" x14ac:dyDescent="0.25">
      <c r="B133" s="208" t="str">
        <f>'Assessment Issue Scoring'!AD199</f>
        <v>Hea 02</v>
      </c>
      <c r="C133" s="637" t="str">
        <f>'Assessment Issue Scoring'!AE199</f>
        <v>Minimising sources of air pollution: criterion 5</v>
      </c>
      <c r="D133" s="637"/>
      <c r="E133" s="637"/>
      <c r="F133" s="637"/>
      <c r="G133" s="637"/>
      <c r="H133" s="637"/>
      <c r="I133" s="637"/>
      <c r="J133" s="1314"/>
      <c r="K133" s="208" t="str">
        <f>'Assessment Issue Scoring'!AF199</f>
        <v>N/A</v>
      </c>
    </row>
    <row r="134" spans="2:11" x14ac:dyDescent="0.25">
      <c r="B134" s="208" t="str">
        <f>'Assessment Issue Scoring'!AD200</f>
        <v>Hea 02</v>
      </c>
      <c r="C134" s="636" t="str">
        <f>'Assessment Issue Scoring'!AE200</f>
        <v>VOC</v>
      </c>
      <c r="D134" s="637"/>
      <c r="E134" s="637"/>
      <c r="F134" s="637"/>
      <c r="G134" s="637"/>
      <c r="H134" s="637"/>
      <c r="I134" s="637"/>
      <c r="J134" s="1314"/>
      <c r="K134" s="208" t="str">
        <f>'Assessment Issue Scoring'!AF200</f>
        <v>N/A</v>
      </c>
    </row>
    <row r="135" spans="2:11" x14ac:dyDescent="0.25">
      <c r="B135" s="208" t="str">
        <f>'Assessment Issue Scoring'!AD231</f>
        <v>Hea 03</v>
      </c>
      <c r="C135" s="637" t="str">
        <f>'Assessment Issue Scoring'!AE231</f>
        <v>Thermal modelling</v>
      </c>
      <c r="D135" s="637"/>
      <c r="E135" s="637"/>
      <c r="F135" s="637"/>
      <c r="G135" s="637"/>
      <c r="H135" s="637"/>
      <c r="I135" s="637"/>
      <c r="J135" s="1314"/>
      <c r="K135" s="208" t="str">
        <f>'Assessment Issue Scoring'!AF231</f>
        <v>N/A</v>
      </c>
    </row>
    <row r="136" spans="2:11" x14ac:dyDescent="0.25">
      <c r="B136" s="208" t="str">
        <f>'Assessment Issue Scoring'!AD232</f>
        <v>Hea 03</v>
      </c>
      <c r="C136" s="637" t="str">
        <f>'Assessment Issue Scoring'!AE232</f>
        <v>Thermal zoning and control strategy</v>
      </c>
      <c r="D136" s="637"/>
      <c r="E136" s="637"/>
      <c r="F136" s="637"/>
      <c r="G136" s="637"/>
      <c r="H136" s="637"/>
      <c r="I136" s="637"/>
      <c r="J136" s="1314"/>
      <c r="K136" s="208" t="str">
        <f>'Assessment Issue Scoring'!AF232</f>
        <v>N/A</v>
      </c>
    </row>
    <row r="137" spans="2:11" x14ac:dyDescent="0.25">
      <c r="B137" s="208" t="str">
        <f>'Assessment Issue Scoring'!AD256</f>
        <v>Hea 04</v>
      </c>
      <c r="C137" s="637" t="str">
        <f>'Assessment Issue Scoring'!AE256</f>
        <v>Microbial contamination</v>
      </c>
      <c r="D137" s="637"/>
      <c r="E137" s="637"/>
      <c r="F137" s="637"/>
      <c r="G137" s="637"/>
      <c r="H137" s="637"/>
      <c r="I137" s="637"/>
      <c r="J137" s="1314"/>
      <c r="K137" s="208" t="str">
        <f>'Assessment Issue Scoring'!AF256</f>
        <v>N/A</v>
      </c>
    </row>
    <row r="139" spans="2:11" x14ac:dyDescent="0.25">
      <c r="B139" s="208" t="str">
        <f>'Assessment Issue Scoring'!AD387</f>
        <v>Ene 01</v>
      </c>
      <c r="C139" s="637" t="str">
        <f>'Assessment Issue Scoring'!AE387</f>
        <v>Energy efficiency</v>
      </c>
      <c r="D139" s="637"/>
      <c r="E139" s="637"/>
      <c r="F139" s="637"/>
      <c r="G139" s="637"/>
      <c r="H139" s="637"/>
      <c r="I139" s="637"/>
      <c r="J139" s="1314"/>
      <c r="K139" s="208" t="str">
        <f>'Assessment Issue Scoring'!AF387</f>
        <v>N/A</v>
      </c>
    </row>
    <row r="140" spans="2:11" x14ac:dyDescent="0.25">
      <c r="B140" s="208" t="str">
        <f>'Assessment Issue Scoring'!AD412</f>
        <v>Ene 02</v>
      </c>
      <c r="C140" s="637" t="str">
        <f>'Assessment Issue Scoring'!AE412</f>
        <v>Assessment criteria 1-3. Monitoring of major energy consuming systems</v>
      </c>
      <c r="D140" s="637"/>
      <c r="E140" s="637"/>
      <c r="F140" s="637"/>
      <c r="G140" s="637"/>
      <c r="H140" s="637"/>
      <c r="I140" s="637"/>
      <c r="J140" s="1314"/>
      <c r="K140" s="208" t="str">
        <f>'Assessment Issue Scoring'!AF412</f>
        <v>N/A</v>
      </c>
    </row>
    <row r="141" spans="2:11" x14ac:dyDescent="0.25">
      <c r="B141" s="208" t="str">
        <f>'Assessment Issue Scoring'!AD413</f>
        <v>Ene 02</v>
      </c>
      <c r="C141" s="637" t="str">
        <f>'Assessment Issue Scoring'!AE413</f>
        <v>Assessment criteria 4-7. Monitoring of major energy consuming systems</v>
      </c>
      <c r="D141" s="637"/>
      <c r="E141" s="637"/>
      <c r="F141" s="637"/>
      <c r="G141" s="637"/>
      <c r="H141" s="637"/>
      <c r="I141" s="637"/>
      <c r="J141" s="1314"/>
      <c r="K141" s="208" t="str">
        <f>'Assessment Issue Scoring'!AF413</f>
        <v>N/A</v>
      </c>
    </row>
    <row r="142" spans="2:11" x14ac:dyDescent="0.25">
      <c r="B142" s="208" t="str">
        <f>'Assessment Issue Scoring'!AD438</f>
        <v>Ene 03</v>
      </c>
      <c r="C142" s="637" t="str">
        <f>'Assessment Issue Scoring'!AE438</f>
        <v>External lighting</v>
      </c>
      <c r="D142" s="637"/>
      <c r="E142" s="637"/>
      <c r="F142" s="637"/>
      <c r="G142" s="637"/>
      <c r="H142" s="637"/>
      <c r="I142" s="637"/>
      <c r="J142" s="1314"/>
      <c r="K142" s="208" t="str">
        <f>'Assessment Issue Scoring'!AF438</f>
        <v>N/A</v>
      </c>
    </row>
    <row r="143" spans="2:11" x14ac:dyDescent="0.25">
      <c r="B143" s="208" t="str">
        <f>'Assessment Issue Scoring'!AD459</f>
        <v>Ene 04</v>
      </c>
      <c r="C143" s="637" t="str">
        <f>'Assessment Issue Scoring'!AE459</f>
        <v>Compliant LZC feasibility study</v>
      </c>
      <c r="D143" s="637"/>
      <c r="E143" s="637"/>
      <c r="F143" s="637"/>
      <c r="G143" s="637"/>
      <c r="H143" s="637"/>
      <c r="I143" s="637"/>
      <c r="J143" s="1314"/>
      <c r="K143" s="208" t="str">
        <f>'Assessment Issue Scoring'!AF459</f>
        <v>N/A</v>
      </c>
    </row>
    <row r="144" spans="2:11" x14ac:dyDescent="0.25">
      <c r="B144" s="208" t="str">
        <f>'Assessment Issue Scoring'!AD480</f>
        <v>Ene 05</v>
      </c>
      <c r="C144" s="637" t="str">
        <f>'Assessment Issue Scoring'!AE480</f>
        <v>Refrigeration system design, installation and commissioning</v>
      </c>
      <c r="D144" s="637"/>
      <c r="E144" s="637"/>
      <c r="F144" s="637"/>
      <c r="G144" s="637"/>
      <c r="H144" s="637"/>
      <c r="I144" s="637"/>
      <c r="J144" s="1314"/>
      <c r="K144" s="208" t="str">
        <f>'Assessment Issue Scoring'!AF480</f>
        <v>N/A</v>
      </c>
    </row>
    <row r="145" spans="2:11" x14ac:dyDescent="0.25">
      <c r="B145" s="208" t="str">
        <f>'Assessment Issue Scoring'!AD481</f>
        <v>Ene 05</v>
      </c>
      <c r="C145" s="637" t="str">
        <f>'Assessment Issue Scoring'!AE481</f>
        <v>Components meet published energy efficiency criteria</v>
      </c>
      <c r="D145" s="637"/>
      <c r="E145" s="637"/>
      <c r="F145" s="637"/>
      <c r="G145" s="637"/>
      <c r="H145" s="637"/>
      <c r="I145" s="637"/>
      <c r="J145" s="1314"/>
      <c r="K145" s="208" t="str">
        <f>'Assessment Issue Scoring'!AF481</f>
        <v>N/A</v>
      </c>
    </row>
    <row r="146" spans="2:11" x14ac:dyDescent="0.25">
      <c r="B146" s="208" t="str">
        <f>'Assessment Issue Scoring'!AD482</f>
        <v>Ene 05</v>
      </c>
      <c r="C146" s="637" t="str">
        <f>'Assessment Issue Scoring'!AE482</f>
        <v>Indirect operational greenhouse gas emissions</v>
      </c>
      <c r="D146" s="637"/>
      <c r="E146" s="637"/>
      <c r="F146" s="637"/>
      <c r="G146" s="637"/>
      <c r="H146" s="637"/>
      <c r="I146" s="637"/>
      <c r="J146" s="1314"/>
      <c r="K146" s="208" t="str">
        <f>'Assessment Issue Scoring'!AF482</f>
        <v>N/A</v>
      </c>
    </row>
    <row r="147" spans="2:11" x14ac:dyDescent="0.25">
      <c r="B147" s="208" t="str">
        <f>'Assessment Issue Scoring'!AD502</f>
        <v>Ene 06</v>
      </c>
      <c r="C147" s="637" t="str">
        <f>'Assessment Issue Scoring'!AE502</f>
        <v>Transportation system analysis and strategy. The system/strategy with the lowest energy consumption is specified</v>
      </c>
      <c r="D147" s="637"/>
      <c r="E147" s="637"/>
      <c r="F147" s="637"/>
      <c r="G147" s="637"/>
      <c r="H147" s="637"/>
      <c r="I147" s="637"/>
      <c r="J147" s="1314"/>
      <c r="K147" s="208" t="str">
        <f>'Assessment Issue Scoring'!AF502</f>
        <v>N/A</v>
      </c>
    </row>
    <row r="148" spans="2:11" x14ac:dyDescent="0.25">
      <c r="B148" s="208" t="str">
        <f>'Assessment Issue Scoring'!AD503</f>
        <v>Ene 06</v>
      </c>
      <c r="C148" s="637" t="str">
        <f>'Assessment Issue Scoring'!AE503</f>
        <v>Energy efficient transportation features</v>
      </c>
      <c r="D148" s="637"/>
      <c r="E148" s="637"/>
      <c r="F148" s="637"/>
      <c r="G148" s="637"/>
      <c r="H148" s="637"/>
      <c r="I148" s="637"/>
      <c r="J148" s="1314"/>
      <c r="K148" s="208" t="str">
        <f>'Assessment Issue Scoring'!AF503</f>
        <v>N/A</v>
      </c>
    </row>
    <row r="149" spans="2:11" x14ac:dyDescent="0.25">
      <c r="B149" s="208" t="str">
        <f>'Assessment Issue Scoring'!AD570</f>
        <v>Ene 08</v>
      </c>
      <c r="C149" s="637" t="str">
        <f>'Assessment Issue Scoring'!AE570</f>
        <v>Energy efficient equipment</v>
      </c>
      <c r="D149" s="637"/>
      <c r="E149" s="637"/>
      <c r="F149" s="637"/>
      <c r="G149" s="637"/>
      <c r="H149" s="637"/>
      <c r="I149" s="637"/>
      <c r="J149" s="1314"/>
      <c r="K149" s="208" t="str">
        <f>'Assessment Issue Scoring'!AF570</f>
        <v>N/A</v>
      </c>
    </row>
    <row r="150" spans="2:11" x14ac:dyDescent="0.25">
      <c r="B150" s="208" t="str">
        <f>'Assessment Issue Scoring'!AD591</f>
        <v>Ene 09</v>
      </c>
      <c r="C150" s="637" t="str">
        <f>'Assessment Issue Scoring'!AE591</f>
        <v>Drying space</v>
      </c>
      <c r="D150" s="637"/>
      <c r="E150" s="637"/>
      <c r="F150" s="637"/>
      <c r="G150" s="637"/>
      <c r="H150" s="637"/>
      <c r="I150" s="637"/>
      <c r="J150" s="1314"/>
      <c r="K150" s="208" t="str">
        <f>'Assessment Issue Scoring'!AF591</f>
        <v>N/A</v>
      </c>
    </row>
    <row r="152" spans="2:11" x14ac:dyDescent="0.25">
      <c r="B152" s="208" t="str">
        <f>'Assessment Issue Scoring'!AD771</f>
        <v>Wat 01</v>
      </c>
      <c r="C152" s="637" t="str">
        <f>'Assessment Issue Scoring'!AE771</f>
        <v>Water consumption</v>
      </c>
      <c r="D152" s="637"/>
      <c r="E152" s="637"/>
      <c r="F152" s="637"/>
      <c r="G152" s="637"/>
      <c r="H152" s="637"/>
      <c r="I152" s="637"/>
      <c r="J152" s="1314"/>
      <c r="K152" s="208" t="str">
        <f>'Assessment Issue Scoring'!AF771</f>
        <v>N/A</v>
      </c>
    </row>
    <row r="153" spans="2:11" x14ac:dyDescent="0.25">
      <c r="B153" s="208" t="str">
        <f>'Assessment Issue Scoring'!AD805</f>
        <v>Wat 02</v>
      </c>
      <c r="C153" s="637" t="str">
        <f>'Assessment Issue Scoring'!AE805</f>
        <v>Water monitoring</v>
      </c>
      <c r="D153" s="637"/>
      <c r="E153" s="637"/>
      <c r="F153" s="637"/>
      <c r="G153" s="637"/>
      <c r="H153" s="637"/>
      <c r="I153" s="637"/>
      <c r="J153" s="1314"/>
      <c r="K153" s="208" t="str">
        <f>'Assessment Issue Scoring'!AF805</f>
        <v>N/A</v>
      </c>
    </row>
    <row r="154" spans="2:11" x14ac:dyDescent="0.25">
      <c r="B154" s="208" t="str">
        <f>'Assessment Issue Scoring'!AD829</f>
        <v>Wat 03</v>
      </c>
      <c r="C154" s="637" t="str">
        <f>'Assessment Issue Scoring'!AE829</f>
        <v>Flow control device to each sanitary area/facility</v>
      </c>
      <c r="D154" s="637"/>
      <c r="E154" s="637"/>
      <c r="F154" s="637"/>
      <c r="G154" s="637"/>
      <c r="H154" s="637"/>
      <c r="I154" s="637"/>
      <c r="J154" s="1314"/>
      <c r="K154" s="208" t="str">
        <f>'Assessment Issue Scoring'!AF829</f>
        <v>N/A</v>
      </c>
    </row>
    <row r="156" spans="2:11" x14ac:dyDescent="0.25">
      <c r="B156" s="208" t="str">
        <f>'Assessment Issue Scoring'!AD945</f>
        <v>Mat 05</v>
      </c>
      <c r="C156" s="637" t="str">
        <f>'Assessment Issue Scoring'!AE945</f>
        <v>Suitable durability/protection measures to vulnerable building areas</v>
      </c>
      <c r="D156" s="637"/>
      <c r="E156" s="637"/>
      <c r="F156" s="637"/>
      <c r="G156" s="637"/>
      <c r="H156" s="637"/>
      <c r="I156" s="637"/>
      <c r="J156" s="1314"/>
      <c r="K156" s="208" t="str">
        <f>'Assessment Issue Scoring'!AF945</f>
        <v>N/A</v>
      </c>
    </row>
    <row r="158" spans="2:11" x14ac:dyDescent="0.25">
      <c r="B158" s="208" t="str">
        <f>'Assessment Issue Scoring'!AD1191</f>
        <v>POL 01</v>
      </c>
      <c r="C158" s="637" t="str">
        <f>'Assessment Issue Scoring'!AE1191</f>
        <v>Impact of refrigerant: criterion 1, 2</v>
      </c>
      <c r="D158" s="637"/>
      <c r="E158" s="637"/>
      <c r="F158" s="637"/>
      <c r="G158" s="637"/>
      <c r="H158" s="637"/>
      <c r="I158" s="637"/>
      <c r="J158" s="1314"/>
      <c r="K158" s="208" t="str">
        <f>'Assessment Issue Scoring'!AF1191</f>
        <v>N/A</v>
      </c>
    </row>
    <row r="159" spans="2:11" x14ac:dyDescent="0.25">
      <c r="B159" s="208" t="str">
        <f>'Assessment Issue Scoring'!AD1194</f>
        <v>POL 01</v>
      </c>
      <c r="C159" s="637" t="str">
        <f>'Assessment Issue Scoring'!AE1194</f>
        <v>Impact of refrigerant: criterion 3</v>
      </c>
      <c r="D159" s="637"/>
      <c r="E159" s="637"/>
      <c r="F159" s="637"/>
      <c r="G159" s="637"/>
      <c r="H159" s="637"/>
      <c r="I159" s="637"/>
      <c r="J159" s="1314"/>
      <c r="K159" s="208" t="str">
        <f>'Assessment Issue Scoring'!AF1194</f>
        <v>N/A</v>
      </c>
    </row>
    <row r="160" spans="2:11" x14ac:dyDescent="0.25">
      <c r="B160" s="208" t="str">
        <f>'Assessment Issue Scoring'!AD1220</f>
        <v>POL 02</v>
      </c>
      <c r="C160" s="637" t="str">
        <f>'Assessment Issue Scoring'!AE1220</f>
        <v>NOx emissions</v>
      </c>
      <c r="D160" s="637"/>
      <c r="E160" s="637"/>
      <c r="F160" s="637"/>
      <c r="G160" s="637"/>
      <c r="H160" s="637"/>
      <c r="I160" s="637"/>
      <c r="J160" s="1314"/>
      <c r="K160" s="208" t="str">
        <f>'Assessment Issue Scoring'!AF1220</f>
        <v>N/A</v>
      </c>
    </row>
    <row r="161" spans="2:11" x14ac:dyDescent="0.25">
      <c r="B161" s="208" t="str">
        <f>'Assessment Issue Scoring'!AD1271</f>
        <v>POL 04</v>
      </c>
      <c r="C161" s="637" t="str">
        <f>'Assessment Issue Scoring'!AE1271</f>
        <v>External lighting specification</v>
      </c>
      <c r="D161" s="637"/>
      <c r="E161" s="637"/>
      <c r="F161" s="637"/>
      <c r="G161" s="637"/>
      <c r="H161" s="637"/>
      <c r="I161" s="637"/>
      <c r="J161" s="1314"/>
      <c r="K161" s="208" t="str">
        <f>'Assessment Issue Scoring'!AF1271</f>
        <v>N/A</v>
      </c>
    </row>
    <row r="162" spans="2:11" x14ac:dyDescent="0.25">
      <c r="B162" s="208" t="str">
        <f>'Assessment Issue Scoring'!AD1292</f>
        <v>POL 05</v>
      </c>
      <c r="C162" s="637" t="str">
        <f>'Assessment Issue Scoring'!AE1292</f>
        <v>Noise attenuation</v>
      </c>
      <c r="D162" s="637"/>
      <c r="E162" s="637"/>
      <c r="F162" s="637"/>
      <c r="G162" s="637"/>
      <c r="H162" s="637"/>
      <c r="I162" s="637"/>
      <c r="J162" s="1314"/>
      <c r="K162" s="208" t="str">
        <f>'Assessment Issue Scoring'!AF1292</f>
        <v>N/A</v>
      </c>
    </row>
    <row r="299" spans="20:22" ht="15.75" thickBot="1" x14ac:dyDescent="0.3"/>
    <row r="300" spans="20:22" x14ac:dyDescent="0.25">
      <c r="T300" s="33" t="str">
        <f t="shared" ref="T300:T309" si="4">B32</f>
        <v>Management</v>
      </c>
      <c r="U300" s="34"/>
      <c r="V300" s="35">
        <f t="shared" ref="V300:V309" si="5">F32</f>
        <v>0.12</v>
      </c>
    </row>
    <row r="301" spans="20:22" x14ac:dyDescent="0.25">
      <c r="T301" s="26" t="str">
        <f t="shared" si="4"/>
        <v>Health &amp; Wellbeing</v>
      </c>
      <c r="U301" s="27"/>
      <c r="V301" s="28">
        <f t="shared" si="5"/>
        <v>0.15</v>
      </c>
    </row>
    <row r="302" spans="20:22" x14ac:dyDescent="0.25">
      <c r="T302" s="26" t="str">
        <f t="shared" si="4"/>
        <v>Energy</v>
      </c>
      <c r="U302" s="27"/>
      <c r="V302" s="28">
        <f t="shared" si="5"/>
        <v>0.19</v>
      </c>
    </row>
    <row r="303" spans="20:22" x14ac:dyDescent="0.25">
      <c r="T303" s="26" t="str">
        <f t="shared" si="4"/>
        <v>Transport</v>
      </c>
      <c r="U303" s="27"/>
      <c r="V303" s="28">
        <f t="shared" si="5"/>
        <v>0.1</v>
      </c>
    </row>
    <row r="304" spans="20:22" x14ac:dyDescent="0.25">
      <c r="T304" s="26" t="str">
        <f t="shared" si="4"/>
        <v>Water</v>
      </c>
      <c r="U304" s="27"/>
      <c r="V304" s="28">
        <f t="shared" si="5"/>
        <v>0.05</v>
      </c>
    </row>
    <row r="305" spans="20:22" x14ac:dyDescent="0.25">
      <c r="T305" s="26" t="str">
        <f t="shared" si="4"/>
        <v>Materials</v>
      </c>
      <c r="U305" s="27"/>
      <c r="V305" s="28">
        <f t="shared" si="5"/>
        <v>0.13500000000000001</v>
      </c>
    </row>
    <row r="306" spans="20:22" x14ac:dyDescent="0.25">
      <c r="T306" s="26" t="str">
        <f t="shared" si="4"/>
        <v>Waste</v>
      </c>
      <c r="U306" s="27"/>
      <c r="V306" s="28">
        <f t="shared" si="5"/>
        <v>7.4999999999999997E-2</v>
      </c>
    </row>
    <row r="307" spans="20:22" x14ac:dyDescent="0.25">
      <c r="T307" s="26" t="str">
        <f t="shared" si="4"/>
        <v>Land Use &amp; Ecology</v>
      </c>
      <c r="U307" s="27"/>
      <c r="V307" s="28">
        <f t="shared" si="5"/>
        <v>0.1</v>
      </c>
    </row>
    <row r="308" spans="20:22" x14ac:dyDescent="0.25">
      <c r="T308" s="26" t="str">
        <f t="shared" si="4"/>
        <v>Pollution</v>
      </c>
      <c r="U308" s="27"/>
      <c r="V308" s="28">
        <f t="shared" si="5"/>
        <v>0.08</v>
      </c>
    </row>
    <row r="309" spans="20:22" ht="15.75" thickBot="1" x14ac:dyDescent="0.3">
      <c r="T309" s="30" t="str">
        <f t="shared" si="4"/>
        <v>Innovation</v>
      </c>
      <c r="U309" s="31"/>
      <c r="V309" s="32">
        <f t="shared" si="5"/>
        <v>0.1</v>
      </c>
    </row>
  </sheetData>
  <sheetProtection algorithmName="SHA-512" hashValue="CH36H3yDzVCstN2HWuREV6dayd1YTw16bi0tTqckTlO1NQvrTxIcYw8B2vgmY4j6OLfy5TYSEBLiBPfm7jK5Fw==" saltValue="ZmF6xoXv8FRgEpg0+5Zs4A==" spinCount="100000" sheet="1" objects="1" scenarios="1"/>
  <mergeCells count="30">
    <mergeCell ref="D7:E7"/>
    <mergeCell ref="F7:G7"/>
    <mergeCell ref="H8:I8"/>
    <mergeCell ref="H9:I9"/>
    <mergeCell ref="H10:I10"/>
    <mergeCell ref="D8:E8"/>
    <mergeCell ref="D9:E9"/>
    <mergeCell ref="D10:E10"/>
    <mergeCell ref="F8:G8"/>
    <mergeCell ref="F9:G9"/>
    <mergeCell ref="F10:G10"/>
    <mergeCell ref="Z8:AN10"/>
    <mergeCell ref="B102:M102"/>
    <mergeCell ref="B103:M103"/>
    <mergeCell ref="B104:M104"/>
    <mergeCell ref="B105:M105"/>
    <mergeCell ref="B88:E88"/>
    <mergeCell ref="B107:M107"/>
    <mergeCell ref="B108:M108"/>
    <mergeCell ref="B106:M106"/>
    <mergeCell ref="B109:M109"/>
    <mergeCell ref="B110:M110"/>
    <mergeCell ref="C130:D130"/>
    <mergeCell ref="B116:M116"/>
    <mergeCell ref="B117:M117"/>
    <mergeCell ref="B111:M111"/>
    <mergeCell ref="B112:M112"/>
    <mergeCell ref="B113:M113"/>
    <mergeCell ref="B114:M114"/>
    <mergeCell ref="B115:M115"/>
  </mergeCells>
  <conditionalFormatting sqref="G32:G44">
    <cfRule type="expression" dxfId="128" priority="276">
      <formula>$D$7=$AA$33</formula>
    </cfRule>
  </conditionalFormatting>
  <conditionalFormatting sqref="L32:L44 F8:G10">
    <cfRule type="expression" dxfId="127" priority="277">
      <formula>$F$7=$AA$33</formula>
    </cfRule>
  </conditionalFormatting>
  <conditionalFormatting sqref="M32:M44">
    <cfRule type="expression" dxfId="126" priority="278">
      <formula>$H$7=$AA$33</formula>
    </cfRule>
  </conditionalFormatting>
  <conditionalFormatting sqref="D8:E10">
    <cfRule type="expression" dxfId="125" priority="281">
      <formula>$D$7=$AA$33</formula>
    </cfRule>
  </conditionalFormatting>
  <conditionalFormatting sqref="H8:I10">
    <cfRule type="expression" dxfId="124" priority="282">
      <formula>$H$7=$AA$33</formula>
    </cfRule>
  </conditionalFormatting>
  <conditionalFormatting sqref="K51">
    <cfRule type="expression" dxfId="123" priority="143">
      <formula>$Y51=4</formula>
    </cfRule>
    <cfRule type="expression" dxfId="122" priority="144">
      <formula>$Y51=3</formula>
    </cfRule>
    <cfRule type="expression" dxfId="121" priority="145">
      <formula>$Y51=2</formula>
    </cfRule>
    <cfRule type="expression" dxfId="120" priority="146">
      <formula>$Y51=1</formula>
    </cfRule>
  </conditionalFormatting>
  <conditionalFormatting sqref="H51:M51">
    <cfRule type="expression" dxfId="119" priority="142">
      <formula>$X51=2</formula>
    </cfRule>
  </conditionalFormatting>
  <conditionalFormatting sqref="H51">
    <cfRule type="expression" dxfId="118" priority="141">
      <formula>H51&gt;G51</formula>
    </cfRule>
  </conditionalFormatting>
  <conditionalFormatting sqref="H94">
    <cfRule type="expression" dxfId="117" priority="119">
      <formula>H94&gt;G94</formula>
    </cfRule>
  </conditionalFormatting>
  <conditionalFormatting sqref="L51">
    <cfRule type="expression" dxfId="116" priority="137">
      <formula>$Y51=4</formula>
    </cfRule>
    <cfRule type="expression" dxfId="115" priority="138">
      <formula>$Y51=3</formula>
    </cfRule>
    <cfRule type="expression" dxfId="114" priority="139">
      <formula>$Y51=2</formula>
    </cfRule>
    <cfRule type="expression" dxfId="113" priority="140">
      <formula>$Y51=1</formula>
    </cfRule>
  </conditionalFormatting>
  <conditionalFormatting sqref="I51">
    <cfRule type="expression" dxfId="112" priority="136">
      <formula>I51&gt;H51</formula>
    </cfRule>
  </conditionalFormatting>
  <conditionalFormatting sqref="K61">
    <cfRule type="expression" dxfId="111" priority="132">
      <formula>$Y61=4</formula>
    </cfRule>
    <cfRule type="expression" dxfId="110" priority="133">
      <formula>$Y61=3</formula>
    </cfRule>
    <cfRule type="expression" dxfId="109" priority="134">
      <formula>$Y61=2</formula>
    </cfRule>
    <cfRule type="expression" dxfId="108" priority="135">
      <formula>$Y61=1</formula>
    </cfRule>
  </conditionalFormatting>
  <conditionalFormatting sqref="H61:M61">
    <cfRule type="expression" dxfId="107" priority="131">
      <formula>$X61=2</formula>
    </cfRule>
  </conditionalFormatting>
  <conditionalFormatting sqref="H61">
    <cfRule type="expression" dxfId="106" priority="130">
      <formula>H61&gt;G61</formula>
    </cfRule>
  </conditionalFormatting>
  <conditionalFormatting sqref="L61">
    <cfRule type="expression" dxfId="105" priority="126">
      <formula>$Y61=4</formula>
    </cfRule>
    <cfRule type="expression" dxfId="104" priority="127">
      <formula>$Y61=3</formula>
    </cfRule>
    <cfRule type="expression" dxfId="103" priority="128">
      <formula>$Y61=2</formula>
    </cfRule>
    <cfRule type="expression" dxfId="102" priority="129">
      <formula>$Y61=1</formula>
    </cfRule>
  </conditionalFormatting>
  <conditionalFormatting sqref="I61">
    <cfRule type="expression" dxfId="101" priority="125">
      <formula>I61&gt;H61</formula>
    </cfRule>
  </conditionalFormatting>
  <conditionalFormatting sqref="K94">
    <cfRule type="expression" dxfId="100" priority="121">
      <formula>#REF!=4</formula>
    </cfRule>
    <cfRule type="expression" dxfId="99" priority="122">
      <formula>#REF!=3</formula>
    </cfRule>
    <cfRule type="expression" dxfId="98" priority="123">
      <formula>#REF!=2</formula>
    </cfRule>
    <cfRule type="expression" dxfId="97" priority="124">
      <formula>#REF!=1</formula>
    </cfRule>
  </conditionalFormatting>
  <conditionalFormatting sqref="H94:M94 D101:J101 M101">
    <cfRule type="expression" dxfId="96" priority="120">
      <formula>#REF!=2</formula>
    </cfRule>
  </conditionalFormatting>
  <conditionalFormatting sqref="H75">
    <cfRule type="expression" dxfId="95" priority="97">
      <formula>H75&gt;G75</formula>
    </cfRule>
  </conditionalFormatting>
  <conditionalFormatting sqref="L94">
    <cfRule type="expression" dxfId="94" priority="115">
      <formula>#REF!=4</formula>
    </cfRule>
    <cfRule type="expression" dxfId="93" priority="116">
      <formula>#REF!=3</formula>
    </cfRule>
    <cfRule type="expression" dxfId="92" priority="117">
      <formula>#REF!=2</formula>
    </cfRule>
    <cfRule type="expression" dxfId="91" priority="118">
      <formula>#REF!=1</formula>
    </cfRule>
  </conditionalFormatting>
  <conditionalFormatting sqref="I94">
    <cfRule type="expression" dxfId="90" priority="114">
      <formula>I94&gt;H94</formula>
    </cfRule>
  </conditionalFormatting>
  <conditionalFormatting sqref="K70">
    <cfRule type="expression" dxfId="89" priority="110">
      <formula>$Y70=4</formula>
    </cfRule>
    <cfRule type="expression" dxfId="88" priority="111">
      <formula>$Y70=3</formula>
    </cfRule>
    <cfRule type="expression" dxfId="87" priority="112">
      <formula>$Y70=2</formula>
    </cfRule>
    <cfRule type="expression" dxfId="86" priority="113">
      <formula>$Y70=1</formula>
    </cfRule>
  </conditionalFormatting>
  <conditionalFormatting sqref="H70:M70">
    <cfRule type="expression" dxfId="85" priority="109">
      <formula>$X70=2</formula>
    </cfRule>
  </conditionalFormatting>
  <conditionalFormatting sqref="H70">
    <cfRule type="expression" dxfId="84" priority="108">
      <formula>H70&gt;G70</formula>
    </cfRule>
  </conditionalFormatting>
  <conditionalFormatting sqref="L70">
    <cfRule type="expression" dxfId="83" priority="104">
      <formula>$Y70=4</formula>
    </cfRule>
    <cfRule type="expression" dxfId="82" priority="105">
      <formula>$Y70=3</formula>
    </cfRule>
    <cfRule type="expression" dxfId="81" priority="106">
      <formula>$Y70=2</formula>
    </cfRule>
    <cfRule type="expression" dxfId="80" priority="107">
      <formula>$Y70=1</formula>
    </cfRule>
  </conditionalFormatting>
  <conditionalFormatting sqref="I70">
    <cfRule type="expression" dxfId="79" priority="103">
      <formula>I70&gt;H70</formula>
    </cfRule>
  </conditionalFormatting>
  <conditionalFormatting sqref="K75">
    <cfRule type="expression" dxfId="78" priority="99">
      <formula>$Y62=4</formula>
    </cfRule>
    <cfRule type="expression" dxfId="77" priority="100">
      <formula>$Y62=3</formula>
    </cfRule>
    <cfRule type="expression" dxfId="76" priority="101">
      <formula>$Y62=2</formula>
    </cfRule>
    <cfRule type="expression" dxfId="75" priority="102">
      <formula>$Y62=1</formula>
    </cfRule>
  </conditionalFormatting>
  <conditionalFormatting sqref="H75:M75">
    <cfRule type="expression" dxfId="74" priority="98">
      <formula>$X62=2</formula>
    </cfRule>
  </conditionalFormatting>
  <conditionalFormatting sqref="L75">
    <cfRule type="expression" dxfId="73" priority="93">
      <formula>$Y62=4</formula>
    </cfRule>
    <cfRule type="expression" dxfId="72" priority="94">
      <formula>$Y62=3</formula>
    </cfRule>
    <cfRule type="expression" dxfId="71" priority="95">
      <formula>$Y62=2</formula>
    </cfRule>
    <cfRule type="expression" dxfId="70" priority="96">
      <formula>$Y62=1</formula>
    </cfRule>
  </conditionalFormatting>
  <conditionalFormatting sqref="I75">
    <cfRule type="expression" dxfId="69" priority="92">
      <formula>I75&gt;H75</formula>
    </cfRule>
  </conditionalFormatting>
  <conditionalFormatting sqref="K79">
    <cfRule type="expression" dxfId="68" priority="88">
      <formula>$Y68=4</formula>
    </cfRule>
    <cfRule type="expression" dxfId="67" priority="89">
      <formula>$Y68=3</formula>
    </cfRule>
    <cfRule type="expression" dxfId="66" priority="90">
      <formula>$Y68=2</formula>
    </cfRule>
    <cfRule type="expression" dxfId="65" priority="91">
      <formula>$Y68=1</formula>
    </cfRule>
  </conditionalFormatting>
  <conditionalFormatting sqref="H79:M79">
    <cfRule type="expression" dxfId="64" priority="87">
      <formula>$X68=2</formula>
    </cfRule>
  </conditionalFormatting>
  <conditionalFormatting sqref="H79">
    <cfRule type="expression" dxfId="63" priority="86">
      <formula>H79&gt;G79</formula>
    </cfRule>
  </conditionalFormatting>
  <conditionalFormatting sqref="L79">
    <cfRule type="expression" dxfId="62" priority="82">
      <formula>$Y68=4</formula>
    </cfRule>
    <cfRule type="expression" dxfId="61" priority="83">
      <formula>$Y68=3</formula>
    </cfRule>
    <cfRule type="expression" dxfId="60" priority="84">
      <formula>$Y68=2</formula>
    </cfRule>
    <cfRule type="expression" dxfId="59" priority="85">
      <formula>$Y68=1</formula>
    </cfRule>
  </conditionalFormatting>
  <conditionalFormatting sqref="I79">
    <cfRule type="expression" dxfId="58" priority="81">
      <formula>I79&gt;H79</formula>
    </cfRule>
  </conditionalFormatting>
  <conditionalFormatting sqref="I90">
    <cfRule type="expression" dxfId="57" priority="59">
      <formula>I90&gt;H90</formula>
    </cfRule>
  </conditionalFormatting>
  <conditionalFormatting sqref="H84">
    <cfRule type="expression" dxfId="56" priority="75">
      <formula>H84&gt;G84</formula>
    </cfRule>
  </conditionalFormatting>
  <conditionalFormatting sqref="K84">
    <cfRule type="expression" dxfId="55" priority="77">
      <formula>#REF!=4</formula>
    </cfRule>
    <cfRule type="expression" dxfId="54" priority="78">
      <formula>#REF!=3</formula>
    </cfRule>
    <cfRule type="expression" dxfId="53" priority="79">
      <formula>#REF!=2</formula>
    </cfRule>
    <cfRule type="expression" dxfId="52" priority="80">
      <formula>#REF!=1</formula>
    </cfRule>
  </conditionalFormatting>
  <conditionalFormatting sqref="H84:M84">
    <cfRule type="expression" dxfId="51" priority="76">
      <formula>#REF!=2</formula>
    </cfRule>
  </conditionalFormatting>
  <conditionalFormatting sqref="L84">
    <cfRule type="expression" dxfId="50" priority="71">
      <formula>#REF!=4</formula>
    </cfRule>
    <cfRule type="expression" dxfId="49" priority="72">
      <formula>#REF!=3</formula>
    </cfRule>
    <cfRule type="expression" dxfId="48" priority="73">
      <formula>#REF!=2</formula>
    </cfRule>
    <cfRule type="expression" dxfId="47" priority="74">
      <formula>#REF!=1</formula>
    </cfRule>
  </conditionalFormatting>
  <conditionalFormatting sqref="I84">
    <cfRule type="expression" dxfId="46" priority="70">
      <formula>I84&gt;H84</formula>
    </cfRule>
  </conditionalFormatting>
  <conditionalFormatting sqref="H90">
    <cfRule type="expression" dxfId="45" priority="64">
      <formula>H90&gt;G90</formula>
    </cfRule>
  </conditionalFormatting>
  <conditionalFormatting sqref="K90">
    <cfRule type="expression" dxfId="44" priority="66">
      <formula>$Y69=4</formula>
    </cfRule>
    <cfRule type="expression" dxfId="43" priority="67">
      <formula>$Y69=3</formula>
    </cfRule>
    <cfRule type="expression" dxfId="42" priority="68">
      <formula>$Y69=2</formula>
    </cfRule>
    <cfRule type="expression" dxfId="41" priority="69">
      <formula>$Y69=1</formula>
    </cfRule>
  </conditionalFormatting>
  <conditionalFormatting sqref="H90:M90">
    <cfRule type="expression" dxfId="40" priority="65">
      <formula>$X69=2</formula>
    </cfRule>
  </conditionalFormatting>
  <conditionalFormatting sqref="L90">
    <cfRule type="expression" dxfId="39" priority="60">
      <formula>$Y69=4</formula>
    </cfRule>
    <cfRule type="expression" dxfId="38" priority="61">
      <formula>$Y69=3</formula>
    </cfRule>
    <cfRule type="expression" dxfId="37" priority="62">
      <formula>$Y69=2</formula>
    </cfRule>
    <cfRule type="expression" dxfId="36" priority="63">
      <formula>$Y69=1</formula>
    </cfRule>
  </conditionalFormatting>
  <conditionalFormatting sqref="D101">
    <cfRule type="expression" dxfId="35" priority="53">
      <formula>D101&gt;C101</formula>
    </cfRule>
  </conditionalFormatting>
  <conditionalFormatting sqref="G101:I101">
    <cfRule type="expression" dxfId="34" priority="55">
      <formula>#REF!=4</formula>
    </cfRule>
    <cfRule type="expression" dxfId="33" priority="56">
      <formula>#REF!=3</formula>
    </cfRule>
    <cfRule type="expression" dxfId="32" priority="57">
      <formula>#REF!=2</formula>
    </cfRule>
    <cfRule type="expression" dxfId="31" priority="58">
      <formula>#REF!=1</formula>
    </cfRule>
  </conditionalFormatting>
  <conditionalFormatting sqref="J101">
    <cfRule type="expression" dxfId="30" priority="49">
      <formula>#REF!=4</formula>
    </cfRule>
    <cfRule type="expression" dxfId="29" priority="50">
      <formula>#REF!=3</formula>
    </cfRule>
    <cfRule type="expression" dxfId="28" priority="51">
      <formula>#REF!=2</formula>
    </cfRule>
    <cfRule type="expression" dxfId="27" priority="52">
      <formula>#REF!=1</formula>
    </cfRule>
  </conditionalFormatting>
  <conditionalFormatting sqref="E101">
    <cfRule type="expression" dxfId="26" priority="48">
      <formula>E101&gt;D101</formula>
    </cfRule>
  </conditionalFormatting>
  <conditionalFormatting sqref="K101">
    <cfRule type="expression" dxfId="25" priority="47">
      <formula>#REF!=2</formula>
    </cfRule>
  </conditionalFormatting>
  <conditionalFormatting sqref="K101">
    <cfRule type="expression" dxfId="24" priority="43">
      <formula>#REF!=4</formula>
    </cfRule>
    <cfRule type="expression" dxfId="23" priority="44">
      <formula>#REF!=3</formula>
    </cfRule>
    <cfRule type="expression" dxfId="22" priority="45">
      <formula>#REF!=2</formula>
    </cfRule>
    <cfRule type="expression" dxfId="21" priority="46">
      <formula>#REF!=1</formula>
    </cfRule>
  </conditionalFormatting>
  <conditionalFormatting sqref="L101">
    <cfRule type="expression" dxfId="20" priority="42">
      <formula>#REF!=2</formula>
    </cfRule>
  </conditionalFormatting>
  <conditionalFormatting sqref="L101">
    <cfRule type="expression" dxfId="19" priority="38">
      <formula>#REF!=4</formula>
    </cfRule>
    <cfRule type="expression" dxfId="18" priority="39">
      <formula>#REF!=3</formula>
    </cfRule>
    <cfRule type="expression" dxfId="17" priority="40">
      <formula>#REF!=2</formula>
    </cfRule>
    <cfRule type="expression" dxfId="16" priority="41">
      <formula>#REF!=1</formula>
    </cfRule>
  </conditionalFormatting>
  <conditionalFormatting sqref="H98">
    <cfRule type="expression" dxfId="15" priority="32">
      <formula>H98&gt;G98</formula>
    </cfRule>
  </conditionalFormatting>
  <conditionalFormatting sqref="K98">
    <cfRule type="expression" dxfId="14" priority="34">
      <formula>#REF!=4</formula>
    </cfRule>
    <cfRule type="expression" dxfId="13" priority="35">
      <formula>#REF!=3</formula>
    </cfRule>
    <cfRule type="expression" dxfId="12" priority="36">
      <formula>#REF!=2</formula>
    </cfRule>
    <cfRule type="expression" dxfId="11" priority="37">
      <formula>#REF!=1</formula>
    </cfRule>
  </conditionalFormatting>
  <conditionalFormatting sqref="H98:M98">
    <cfRule type="expression" dxfId="10" priority="33">
      <formula>#REF!=2</formula>
    </cfRule>
  </conditionalFormatting>
  <conditionalFormatting sqref="L98">
    <cfRule type="expression" dxfId="9" priority="28">
      <formula>#REF!=4</formula>
    </cfRule>
    <cfRule type="expression" dxfId="8" priority="29">
      <formula>#REF!=3</formula>
    </cfRule>
    <cfRule type="expression" dxfId="7" priority="30">
      <formula>#REF!=2</formula>
    </cfRule>
    <cfRule type="expression" dxfId="6" priority="31">
      <formula>#REF!=1</formula>
    </cfRule>
  </conditionalFormatting>
  <conditionalFormatting sqref="I98">
    <cfRule type="expression" dxfId="5" priority="27">
      <formula>I98&gt;H98</formula>
    </cfRule>
  </conditionalFormatting>
  <dataValidations disablePrompts="1" count="1">
    <dataValidation type="list" allowBlank="1" showInputMessage="1" showErrorMessage="1" sqref="D7" xr:uid="{00000000-0002-0000-0600-000000000000}">
      <formula1>$AA$32:$AA$33</formula1>
    </dataValidation>
  </dataValidations>
  <pageMargins left="0.51181102362204722" right="0.51181102362204722" top="0.35433070866141736" bottom="0.35433070866141736" header="0.31496062992125984" footer="0.31496062992125984"/>
  <pageSetup paperSize="9" scale="76" fitToHeight="0" orientation="landscape" verticalDpi="598" r:id="rId1"/>
  <drawing r:id="rId2"/>
  <extLst>
    <ext xmlns:x14="http://schemas.microsoft.com/office/spreadsheetml/2009/9/main" uri="{78C0D931-6437-407d-A8EE-F0AAD7539E65}">
      <x14:conditionalFormattings>
        <x14:conditionalFormatting xmlns:xm="http://schemas.microsoft.com/office/excel/2006/main">
          <x14:cfRule type="expression" priority="5" id="{C53F7E8B-2241-4E8D-8D6B-95667346DEF0}">
            <xm:f>'Assessment Issue Scoring'!$T$4=AIS_No</xm:f>
            <x14:dxf>
              <font>
                <color theme="0" tint="-0.34998626667073579"/>
              </font>
              <fill>
                <patternFill>
                  <bgColor theme="0" tint="-0.34998626667073579"/>
                </patternFill>
              </fill>
            </x14:dxf>
          </x14:cfRule>
          <xm:sqref>K131:K137</xm:sqref>
        </x14:conditionalFormatting>
        <x14:conditionalFormatting xmlns:xm="http://schemas.microsoft.com/office/excel/2006/main">
          <x14:cfRule type="expression" priority="4" id="{923465D3-D378-48C1-8282-96209076BD6C}">
            <xm:f>'Assessment Issue Scoring'!$T$4=AIS_No</xm:f>
            <x14:dxf>
              <font>
                <color theme="0" tint="-0.34998626667073579"/>
              </font>
              <fill>
                <patternFill>
                  <bgColor theme="0" tint="-0.34998626667073579"/>
                </patternFill>
              </fill>
            </x14:dxf>
          </x14:cfRule>
          <xm:sqref>K139:K150</xm:sqref>
        </x14:conditionalFormatting>
        <x14:conditionalFormatting xmlns:xm="http://schemas.microsoft.com/office/excel/2006/main">
          <x14:cfRule type="expression" priority="3" id="{5F9170F2-AFE2-4BE4-83DC-4FE629E07CCC}">
            <xm:f>'Assessment Issue Scoring'!$T$4=AIS_No</xm:f>
            <x14:dxf>
              <font>
                <color theme="0" tint="-0.34998626667073579"/>
              </font>
              <fill>
                <patternFill>
                  <bgColor theme="0" tint="-0.34998626667073579"/>
                </patternFill>
              </fill>
            </x14:dxf>
          </x14:cfRule>
          <xm:sqref>K152:K154</xm:sqref>
        </x14:conditionalFormatting>
        <x14:conditionalFormatting xmlns:xm="http://schemas.microsoft.com/office/excel/2006/main">
          <x14:cfRule type="expression" priority="1" id="{F87FA1F2-6466-4AA1-BC21-97C7B35BCB81}">
            <xm:f>'Assessment Issue Scoring'!$T$4=AIS_No</xm:f>
            <x14:dxf>
              <font>
                <color theme="0" tint="-0.34998626667073579"/>
              </font>
              <fill>
                <patternFill>
                  <bgColor theme="0" tint="-0.34998626667073579"/>
                </patternFill>
              </fill>
            </x14:dxf>
          </x14:cfRule>
          <xm:sqref>K158:K162</xm:sqref>
        </x14:conditionalFormatting>
        <x14:conditionalFormatting xmlns:xm="http://schemas.microsoft.com/office/excel/2006/main">
          <x14:cfRule type="expression" priority="2" id="{7774D5C4-1690-4768-9E46-35348EA13E65}">
            <xm:f>'Assessment Issue Scoring'!$T$4=AIS_No</xm:f>
            <x14:dxf>
              <font>
                <color theme="0" tint="-0.34998626667073579"/>
              </font>
              <fill>
                <patternFill>
                  <bgColor theme="0" tint="-0.34998626667073579"/>
                </patternFill>
              </fill>
            </x14:dxf>
          </x14:cfRule>
          <xm:sqref>K156</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G513"/>
  <sheetViews>
    <sheetView showGridLines="0" zoomScaleNormal="100" workbookViewId="0">
      <selection activeCell="C36" sqref="C36"/>
    </sheetView>
  </sheetViews>
  <sheetFormatPr defaultColWidth="9.140625" defaultRowHeight="15" x14ac:dyDescent="0.25"/>
  <cols>
    <col min="1" max="1" width="5.140625" customWidth="1"/>
    <col min="2" max="2" width="10.5703125" customWidth="1"/>
    <col min="3" max="3" width="109.42578125" customWidth="1"/>
    <col min="4" max="4" width="15.5703125" customWidth="1"/>
    <col min="5" max="5" width="40" customWidth="1"/>
    <col min="6" max="6" width="74.42578125" customWidth="1"/>
    <col min="8" max="59" width="9.140625" hidden="1" customWidth="1"/>
  </cols>
  <sheetData>
    <row r="1" spans="1:59" x14ac:dyDescent="0.25">
      <c r="A1" s="1"/>
      <c r="B1" s="611"/>
      <c r="C1" s="611"/>
      <c r="D1" s="1"/>
      <c r="E1" s="2"/>
      <c r="F1" s="1"/>
    </row>
    <row r="2" spans="1:59" ht="35.25" customHeight="1" x14ac:dyDescent="0.25">
      <c r="A2" s="1"/>
      <c r="B2" s="758" t="s">
        <v>963</v>
      </c>
      <c r="C2" s="759"/>
      <c r="D2" s="759"/>
      <c r="E2" s="759"/>
      <c r="F2" s="1244" t="str">
        <f>IF('Manuell filtrering og justering'!H2='Manuell filtrering og justering'!I2,"Bespoke","")</f>
        <v/>
      </c>
    </row>
    <row r="3" spans="1:59" x14ac:dyDescent="0.25">
      <c r="A3" s="1"/>
      <c r="B3" s="179"/>
      <c r="C3" s="179"/>
      <c r="D3" s="180"/>
      <c r="E3" s="181"/>
      <c r="F3" s="456"/>
    </row>
    <row r="4" spans="1:59" ht="15.75" x14ac:dyDescent="0.25">
      <c r="B4" s="969" t="str">
        <f>"Scoring and Reporting tool, Version: "&amp;TVC_current_version</f>
        <v>Scoring and Reporting tool, Version: 1.05</v>
      </c>
      <c r="C4" s="970"/>
      <c r="D4" s="969" t="s">
        <v>1228</v>
      </c>
      <c r="E4" s="140" t="str">
        <f>IF(ADBN="","",ADBN)</f>
        <v/>
      </c>
      <c r="F4" s="647"/>
      <c r="G4" s="49"/>
      <c r="H4" s="49"/>
    </row>
    <row r="6" spans="1:59" ht="31.5" x14ac:dyDescent="0.25">
      <c r="B6" s="648" t="s">
        <v>967</v>
      </c>
      <c r="C6" s="649" t="s">
        <v>968</v>
      </c>
      <c r="D6" s="650" t="s">
        <v>969</v>
      </c>
      <c r="E6" s="651" t="s">
        <v>970</v>
      </c>
      <c r="F6" s="652" t="s">
        <v>971</v>
      </c>
      <c r="H6" s="513" t="s">
        <v>97</v>
      </c>
      <c r="I6" s="513" t="s">
        <v>98</v>
      </c>
      <c r="J6" s="513" t="s">
        <v>99</v>
      </c>
      <c r="K6" s="513" t="s">
        <v>100</v>
      </c>
      <c r="L6" s="513" t="s">
        <v>101</v>
      </c>
      <c r="M6" s="513" t="s">
        <v>125</v>
      </c>
      <c r="N6" s="513" t="s">
        <v>126</v>
      </c>
      <c r="O6" s="513" t="s">
        <v>127</v>
      </c>
      <c r="P6" s="513" t="s">
        <v>128</v>
      </c>
      <c r="Q6" s="513" t="s">
        <v>129</v>
      </c>
      <c r="R6" s="513" t="s">
        <v>130</v>
      </c>
      <c r="S6" s="513" t="s">
        <v>131</v>
      </c>
      <c r="T6" s="513" t="s">
        <v>132</v>
      </c>
      <c r="U6" s="513" t="s">
        <v>133</v>
      </c>
      <c r="V6" s="513" t="s">
        <v>146</v>
      </c>
      <c r="W6" s="513" t="s">
        <v>147</v>
      </c>
      <c r="X6" s="513" t="s">
        <v>148</v>
      </c>
      <c r="Y6" s="513" t="s">
        <v>149</v>
      </c>
      <c r="Z6" s="513" t="s">
        <v>150</v>
      </c>
      <c r="AA6" s="513" t="s">
        <v>151</v>
      </c>
      <c r="AB6" s="513" t="s">
        <v>152</v>
      </c>
      <c r="AC6" s="513" t="s">
        <v>153</v>
      </c>
      <c r="AD6" s="513" t="s">
        <v>154</v>
      </c>
      <c r="AE6" s="513" t="s">
        <v>155</v>
      </c>
      <c r="AF6" s="513" t="s">
        <v>161</v>
      </c>
      <c r="AG6" s="513" t="s">
        <v>162</v>
      </c>
      <c r="AH6" s="513" t="s">
        <v>163</v>
      </c>
      <c r="AI6" s="513" t="s">
        <v>164</v>
      </c>
      <c r="AJ6" s="513" t="s">
        <v>165</v>
      </c>
      <c r="AK6" s="513" t="s">
        <v>847</v>
      </c>
      <c r="AL6" s="513" t="s">
        <v>185</v>
      </c>
      <c r="AM6" s="513" t="s">
        <v>186</v>
      </c>
      <c r="AN6" s="513" t="s">
        <v>187</v>
      </c>
      <c r="AO6" s="513" t="s">
        <v>188</v>
      </c>
      <c r="AP6" s="513" t="s">
        <v>189</v>
      </c>
      <c r="AQ6" s="513" t="s">
        <v>190</v>
      </c>
      <c r="AR6" s="513" t="s">
        <v>191</v>
      </c>
      <c r="AS6" s="513" t="s">
        <v>193</v>
      </c>
      <c r="AT6" s="513" t="s">
        <v>194</v>
      </c>
      <c r="AU6" s="513" t="s">
        <v>195</v>
      </c>
      <c r="AV6" s="513" t="s">
        <v>196</v>
      </c>
      <c r="AW6" s="513" t="s">
        <v>197</v>
      </c>
      <c r="AX6" s="513" t="s">
        <v>198</v>
      </c>
      <c r="AY6" s="513" t="s">
        <v>199</v>
      </c>
      <c r="AZ6" s="513" t="s">
        <v>200</v>
      </c>
      <c r="BA6" s="513" t="s">
        <v>201</v>
      </c>
      <c r="BB6" s="513" t="s">
        <v>202</v>
      </c>
      <c r="BC6" s="513" t="s">
        <v>203</v>
      </c>
      <c r="BD6" s="513" t="s">
        <v>204</v>
      </c>
      <c r="BE6" s="513" t="s">
        <v>205</v>
      </c>
      <c r="BF6" s="513" t="s">
        <v>206</v>
      </c>
      <c r="BG6" s="513" t="s">
        <v>1008</v>
      </c>
    </row>
    <row r="7" spans="1:59" ht="30" x14ac:dyDescent="0.25">
      <c r="B7" s="654">
        <v>1</v>
      </c>
      <c r="C7" s="654" t="s">
        <v>972</v>
      </c>
      <c r="D7" s="654" t="s">
        <v>97</v>
      </c>
      <c r="E7" s="655">
        <v>1</v>
      </c>
      <c r="F7" s="654" t="s">
        <v>973</v>
      </c>
      <c r="H7" s="609" t="str">
        <f>IF($D7=H$6,$B7&amp;", ","")</f>
        <v xml:space="preserve">1, </v>
      </c>
      <c r="I7" s="609" t="str">
        <f t="shared" ref="I7:BG12" si="0">IF($D7=I$6,$B7&amp;", ","")</f>
        <v/>
      </c>
      <c r="J7" s="609" t="str">
        <f t="shared" si="0"/>
        <v/>
      </c>
      <c r="K7" s="609" t="str">
        <f t="shared" si="0"/>
        <v/>
      </c>
      <c r="L7" s="609" t="str">
        <f t="shared" si="0"/>
        <v/>
      </c>
      <c r="M7" s="609" t="str">
        <f t="shared" si="0"/>
        <v/>
      </c>
      <c r="N7" s="609" t="str">
        <f t="shared" si="0"/>
        <v/>
      </c>
      <c r="O7" s="609" t="str">
        <f t="shared" si="0"/>
        <v/>
      </c>
      <c r="P7" s="609" t="str">
        <f t="shared" si="0"/>
        <v/>
      </c>
      <c r="Q7" s="609" t="str">
        <f t="shared" si="0"/>
        <v/>
      </c>
      <c r="R7" s="609" t="str">
        <f t="shared" si="0"/>
        <v/>
      </c>
      <c r="S7" s="609" t="str">
        <f t="shared" si="0"/>
        <v/>
      </c>
      <c r="T7" s="609" t="str">
        <f t="shared" si="0"/>
        <v/>
      </c>
      <c r="U7" s="609" t="str">
        <f t="shared" si="0"/>
        <v/>
      </c>
      <c r="V7" s="609" t="str">
        <f t="shared" si="0"/>
        <v/>
      </c>
      <c r="W7" s="609" t="str">
        <f t="shared" si="0"/>
        <v/>
      </c>
      <c r="X7" s="609" t="str">
        <f t="shared" si="0"/>
        <v/>
      </c>
      <c r="Y7" s="609" t="str">
        <f t="shared" si="0"/>
        <v/>
      </c>
      <c r="Z7" s="609" t="str">
        <f t="shared" si="0"/>
        <v/>
      </c>
      <c r="AA7" s="609" t="str">
        <f t="shared" si="0"/>
        <v/>
      </c>
      <c r="AB7" s="609" t="str">
        <f t="shared" si="0"/>
        <v/>
      </c>
      <c r="AC7" s="609" t="str">
        <f t="shared" si="0"/>
        <v/>
      </c>
      <c r="AD7" s="609" t="str">
        <f t="shared" si="0"/>
        <v/>
      </c>
      <c r="AE7" s="609" t="str">
        <f t="shared" si="0"/>
        <v/>
      </c>
      <c r="AF7" s="609" t="str">
        <f t="shared" si="0"/>
        <v/>
      </c>
      <c r="AG7" s="609" t="str">
        <f t="shared" si="0"/>
        <v/>
      </c>
      <c r="AH7" s="609" t="str">
        <f t="shared" si="0"/>
        <v/>
      </c>
      <c r="AI7" s="609" t="str">
        <f t="shared" si="0"/>
        <v/>
      </c>
      <c r="AJ7" s="609" t="str">
        <f t="shared" si="0"/>
        <v/>
      </c>
      <c r="AK7" s="609" t="str">
        <f t="shared" si="0"/>
        <v/>
      </c>
      <c r="AL7" s="609" t="str">
        <f t="shared" si="0"/>
        <v/>
      </c>
      <c r="AM7" s="609" t="str">
        <f t="shared" si="0"/>
        <v/>
      </c>
      <c r="AN7" s="609" t="str">
        <f t="shared" si="0"/>
        <v/>
      </c>
      <c r="AO7" s="609" t="str">
        <f t="shared" si="0"/>
        <v/>
      </c>
      <c r="AP7" s="609" t="str">
        <f t="shared" si="0"/>
        <v/>
      </c>
      <c r="AQ7" s="609" t="str">
        <f t="shared" si="0"/>
        <v/>
      </c>
      <c r="AR7" s="609" t="str">
        <f t="shared" si="0"/>
        <v/>
      </c>
      <c r="AS7" s="609" t="str">
        <f t="shared" si="0"/>
        <v/>
      </c>
      <c r="AT7" s="609" t="str">
        <f t="shared" si="0"/>
        <v/>
      </c>
      <c r="AU7" s="609" t="str">
        <f t="shared" si="0"/>
        <v/>
      </c>
      <c r="AV7" s="609" t="str">
        <f t="shared" si="0"/>
        <v/>
      </c>
      <c r="AW7" s="609" t="str">
        <f t="shared" si="0"/>
        <v/>
      </c>
      <c r="AX7" s="609" t="str">
        <f t="shared" si="0"/>
        <v/>
      </c>
      <c r="AY7" s="609" t="str">
        <f t="shared" si="0"/>
        <v/>
      </c>
      <c r="AZ7" s="609" t="str">
        <f t="shared" si="0"/>
        <v/>
      </c>
      <c r="BA7" s="609" t="str">
        <f t="shared" si="0"/>
        <v/>
      </c>
      <c r="BB7" s="609" t="str">
        <f t="shared" si="0"/>
        <v/>
      </c>
      <c r="BC7" s="609" t="str">
        <f t="shared" si="0"/>
        <v/>
      </c>
      <c r="BD7" s="609" t="str">
        <f t="shared" si="0"/>
        <v/>
      </c>
      <c r="BE7" s="609" t="str">
        <f t="shared" si="0"/>
        <v/>
      </c>
      <c r="BF7" s="609" t="str">
        <f t="shared" si="0"/>
        <v/>
      </c>
      <c r="BG7" s="609" t="str">
        <f t="shared" si="0"/>
        <v/>
      </c>
    </row>
    <row r="8" spans="1:59" ht="30" x14ac:dyDescent="0.25">
      <c r="B8" s="654">
        <v>2</v>
      </c>
      <c r="C8" s="654" t="s">
        <v>974</v>
      </c>
      <c r="D8" s="654" t="s">
        <v>98</v>
      </c>
      <c r="E8" s="655" t="s">
        <v>975</v>
      </c>
      <c r="F8" s="654" t="s">
        <v>976</v>
      </c>
      <c r="H8" s="609" t="str">
        <f t="shared" ref="H8:W71" si="1">IF($D8=H$6,$B8&amp;", ","")</f>
        <v/>
      </c>
      <c r="I8" s="609" t="str">
        <f t="shared" si="1"/>
        <v xml:space="preserve">2, </v>
      </c>
      <c r="J8" s="609" t="str">
        <f t="shared" si="1"/>
        <v/>
      </c>
      <c r="K8" s="609" t="str">
        <f t="shared" si="1"/>
        <v/>
      </c>
      <c r="L8" s="609" t="str">
        <f t="shared" si="1"/>
        <v/>
      </c>
      <c r="M8" s="609" t="str">
        <f t="shared" si="1"/>
        <v/>
      </c>
      <c r="N8" s="609" t="str">
        <f t="shared" si="1"/>
        <v/>
      </c>
      <c r="O8" s="609" t="str">
        <f t="shared" si="1"/>
        <v/>
      </c>
      <c r="P8" s="609" t="str">
        <f t="shared" si="1"/>
        <v/>
      </c>
      <c r="Q8" s="609" t="str">
        <f t="shared" si="1"/>
        <v/>
      </c>
      <c r="R8" s="609" t="str">
        <f t="shared" si="1"/>
        <v/>
      </c>
      <c r="S8" s="609" t="str">
        <f t="shared" si="1"/>
        <v/>
      </c>
      <c r="T8" s="609" t="str">
        <f t="shared" si="1"/>
        <v/>
      </c>
      <c r="U8" s="609" t="str">
        <f t="shared" si="1"/>
        <v/>
      </c>
      <c r="V8" s="609" t="str">
        <f t="shared" si="1"/>
        <v/>
      </c>
      <c r="W8" s="609" t="str">
        <f t="shared" si="1"/>
        <v/>
      </c>
      <c r="X8" s="609" t="str">
        <f t="shared" si="0"/>
        <v/>
      </c>
      <c r="Y8" s="609" t="str">
        <f t="shared" si="0"/>
        <v/>
      </c>
      <c r="Z8" s="609" t="str">
        <f t="shared" si="0"/>
        <v/>
      </c>
      <c r="AA8" s="609" t="str">
        <f t="shared" si="0"/>
        <v/>
      </c>
      <c r="AB8" s="609" t="str">
        <f t="shared" si="0"/>
        <v/>
      </c>
      <c r="AC8" s="609" t="str">
        <f t="shared" si="0"/>
        <v/>
      </c>
      <c r="AD8" s="609" t="str">
        <f t="shared" si="0"/>
        <v/>
      </c>
      <c r="AE8" s="609" t="str">
        <f t="shared" si="0"/>
        <v/>
      </c>
      <c r="AF8" s="609" t="str">
        <f t="shared" si="0"/>
        <v/>
      </c>
      <c r="AG8" s="609" t="str">
        <f t="shared" si="0"/>
        <v/>
      </c>
      <c r="AH8" s="609" t="str">
        <f t="shared" si="0"/>
        <v/>
      </c>
      <c r="AI8" s="609" t="str">
        <f t="shared" si="0"/>
        <v/>
      </c>
      <c r="AJ8" s="609" t="str">
        <f t="shared" si="0"/>
        <v/>
      </c>
      <c r="AK8" s="609" t="str">
        <f t="shared" si="0"/>
        <v/>
      </c>
      <c r="AL8" s="609" t="str">
        <f t="shared" si="0"/>
        <v/>
      </c>
      <c r="AM8" s="609" t="str">
        <f t="shared" si="0"/>
        <v/>
      </c>
      <c r="AN8" s="609" t="str">
        <f t="shared" si="0"/>
        <v/>
      </c>
      <c r="AO8" s="609" t="str">
        <f t="shared" si="0"/>
        <v/>
      </c>
      <c r="AP8" s="609" t="str">
        <f t="shared" si="0"/>
        <v/>
      </c>
      <c r="AQ8" s="609" t="str">
        <f t="shared" si="0"/>
        <v/>
      </c>
      <c r="AR8" s="609" t="str">
        <f t="shared" si="0"/>
        <v/>
      </c>
      <c r="AS8" s="609" t="str">
        <f t="shared" si="0"/>
        <v/>
      </c>
      <c r="AT8" s="609" t="str">
        <f t="shared" si="0"/>
        <v/>
      </c>
      <c r="AU8" s="609" t="str">
        <f t="shared" si="0"/>
        <v/>
      </c>
      <c r="AV8" s="609" t="str">
        <f t="shared" si="0"/>
        <v/>
      </c>
      <c r="AW8" s="609" t="str">
        <f t="shared" si="0"/>
        <v/>
      </c>
      <c r="AX8" s="609" t="str">
        <f t="shared" si="0"/>
        <v/>
      </c>
      <c r="AY8" s="609" t="str">
        <f t="shared" si="0"/>
        <v/>
      </c>
      <c r="AZ8" s="609" t="str">
        <f t="shared" si="0"/>
        <v/>
      </c>
      <c r="BA8" s="609" t="str">
        <f t="shared" si="0"/>
        <v/>
      </c>
      <c r="BB8" s="609" t="str">
        <f t="shared" si="0"/>
        <v/>
      </c>
      <c r="BC8" s="609" t="str">
        <f t="shared" si="0"/>
        <v/>
      </c>
      <c r="BD8" s="609" t="str">
        <f t="shared" si="0"/>
        <v/>
      </c>
      <c r="BE8" s="609" t="str">
        <f t="shared" si="0"/>
        <v/>
      </c>
      <c r="BF8" s="609" t="str">
        <f t="shared" si="0"/>
        <v/>
      </c>
      <c r="BG8" s="609" t="str">
        <f t="shared" si="0"/>
        <v/>
      </c>
    </row>
    <row r="9" spans="1:59" x14ac:dyDescent="0.25">
      <c r="B9" s="654">
        <v>3</v>
      </c>
      <c r="C9" s="654"/>
      <c r="D9" s="654"/>
      <c r="E9" s="655"/>
      <c r="F9" s="654"/>
      <c r="H9" s="609" t="str">
        <f t="shared" si="1"/>
        <v/>
      </c>
      <c r="I9" s="609" t="str">
        <f t="shared" si="0"/>
        <v/>
      </c>
      <c r="J9" s="609" t="str">
        <f t="shared" si="0"/>
        <v/>
      </c>
      <c r="K9" s="609" t="str">
        <f t="shared" si="0"/>
        <v/>
      </c>
      <c r="L9" s="609" t="str">
        <f t="shared" si="0"/>
        <v/>
      </c>
      <c r="M9" s="609" t="str">
        <f t="shared" si="0"/>
        <v/>
      </c>
      <c r="N9" s="609" t="str">
        <f t="shared" si="0"/>
        <v/>
      </c>
      <c r="O9" s="609" t="str">
        <f t="shared" si="0"/>
        <v/>
      </c>
      <c r="P9" s="609" t="str">
        <f t="shared" si="0"/>
        <v/>
      </c>
      <c r="Q9" s="609" t="str">
        <f t="shared" si="0"/>
        <v/>
      </c>
      <c r="R9" s="609" t="str">
        <f t="shared" si="0"/>
        <v/>
      </c>
      <c r="S9" s="609" t="str">
        <f t="shared" si="0"/>
        <v/>
      </c>
      <c r="T9" s="609" t="str">
        <f t="shared" si="0"/>
        <v/>
      </c>
      <c r="U9" s="609" t="str">
        <f t="shared" si="0"/>
        <v/>
      </c>
      <c r="V9" s="609" t="str">
        <f t="shared" si="0"/>
        <v/>
      </c>
      <c r="W9" s="609" t="str">
        <f t="shared" si="0"/>
        <v/>
      </c>
      <c r="X9" s="609" t="str">
        <f t="shared" si="0"/>
        <v/>
      </c>
      <c r="Y9" s="609" t="str">
        <f t="shared" si="0"/>
        <v/>
      </c>
      <c r="Z9" s="609" t="str">
        <f t="shared" si="0"/>
        <v/>
      </c>
      <c r="AA9" s="609" t="str">
        <f t="shared" si="0"/>
        <v/>
      </c>
      <c r="AB9" s="609" t="str">
        <f t="shared" si="0"/>
        <v/>
      </c>
      <c r="AC9" s="609" t="str">
        <f t="shared" si="0"/>
        <v/>
      </c>
      <c r="AD9" s="609" t="str">
        <f t="shared" si="0"/>
        <v/>
      </c>
      <c r="AE9" s="609" t="str">
        <f t="shared" si="0"/>
        <v/>
      </c>
      <c r="AF9" s="609" t="str">
        <f t="shared" si="0"/>
        <v/>
      </c>
      <c r="AG9" s="609" t="str">
        <f t="shared" si="0"/>
        <v/>
      </c>
      <c r="AH9" s="609" t="str">
        <f t="shared" si="0"/>
        <v/>
      </c>
      <c r="AI9" s="609" t="str">
        <f t="shared" si="0"/>
        <v/>
      </c>
      <c r="AJ9" s="609" t="str">
        <f t="shared" si="0"/>
        <v/>
      </c>
      <c r="AK9" s="609" t="str">
        <f t="shared" si="0"/>
        <v/>
      </c>
      <c r="AL9" s="609" t="str">
        <f t="shared" si="0"/>
        <v/>
      </c>
      <c r="AM9" s="609" t="str">
        <f t="shared" si="0"/>
        <v/>
      </c>
      <c r="AN9" s="609" t="str">
        <f t="shared" si="0"/>
        <v/>
      </c>
      <c r="AO9" s="609" t="str">
        <f t="shared" si="0"/>
        <v/>
      </c>
      <c r="AP9" s="609" t="str">
        <f t="shared" si="0"/>
        <v/>
      </c>
      <c r="AQ9" s="609" t="str">
        <f t="shared" si="0"/>
        <v/>
      </c>
      <c r="AR9" s="609" t="str">
        <f t="shared" si="0"/>
        <v/>
      </c>
      <c r="AS9" s="609" t="str">
        <f t="shared" si="0"/>
        <v/>
      </c>
      <c r="AT9" s="609" t="str">
        <f t="shared" si="0"/>
        <v/>
      </c>
      <c r="AU9" s="609" t="str">
        <f t="shared" si="0"/>
        <v/>
      </c>
      <c r="AV9" s="609" t="str">
        <f t="shared" si="0"/>
        <v/>
      </c>
      <c r="AW9" s="609" t="str">
        <f t="shared" si="0"/>
        <v/>
      </c>
      <c r="AX9" s="609" t="str">
        <f t="shared" si="0"/>
        <v/>
      </c>
      <c r="AY9" s="609" t="str">
        <f t="shared" si="0"/>
        <v/>
      </c>
      <c r="AZ9" s="609" t="str">
        <f t="shared" si="0"/>
        <v/>
      </c>
      <c r="BA9" s="609" t="str">
        <f t="shared" si="0"/>
        <v/>
      </c>
      <c r="BB9" s="609" t="str">
        <f t="shared" si="0"/>
        <v/>
      </c>
      <c r="BC9" s="609" t="str">
        <f t="shared" si="0"/>
        <v/>
      </c>
      <c r="BD9" s="609" t="str">
        <f t="shared" si="0"/>
        <v/>
      </c>
      <c r="BE9" s="609" t="str">
        <f t="shared" si="0"/>
        <v/>
      </c>
      <c r="BF9" s="609" t="str">
        <f t="shared" si="0"/>
        <v/>
      </c>
      <c r="BG9" s="609" t="str">
        <f t="shared" si="0"/>
        <v/>
      </c>
    </row>
    <row r="10" spans="1:59" x14ac:dyDescent="0.25">
      <c r="B10" s="654">
        <v>4</v>
      </c>
      <c r="C10" s="654"/>
      <c r="D10" s="654"/>
      <c r="E10" s="655"/>
      <c r="F10" s="654"/>
      <c r="H10" s="609" t="str">
        <f t="shared" si="1"/>
        <v/>
      </c>
      <c r="I10" s="609" t="str">
        <f t="shared" si="0"/>
        <v/>
      </c>
      <c r="J10" s="609" t="str">
        <f t="shared" si="0"/>
        <v/>
      </c>
      <c r="K10" s="609" t="str">
        <f t="shared" si="0"/>
        <v/>
      </c>
      <c r="L10" s="609" t="str">
        <f t="shared" si="0"/>
        <v/>
      </c>
      <c r="M10" s="609" t="str">
        <f t="shared" si="0"/>
        <v/>
      </c>
      <c r="N10" s="609" t="str">
        <f t="shared" si="0"/>
        <v/>
      </c>
      <c r="O10" s="609" t="str">
        <f t="shared" si="0"/>
        <v/>
      </c>
      <c r="P10" s="609" t="str">
        <f t="shared" si="0"/>
        <v/>
      </c>
      <c r="Q10" s="609" t="str">
        <f t="shared" si="0"/>
        <v/>
      </c>
      <c r="R10" s="609" t="str">
        <f t="shared" si="0"/>
        <v/>
      </c>
      <c r="S10" s="609" t="str">
        <f t="shared" si="0"/>
        <v/>
      </c>
      <c r="T10" s="609" t="str">
        <f t="shared" si="0"/>
        <v/>
      </c>
      <c r="U10" s="609" t="str">
        <f t="shared" si="0"/>
        <v/>
      </c>
      <c r="V10" s="609" t="str">
        <f t="shared" si="0"/>
        <v/>
      </c>
      <c r="W10" s="609" t="str">
        <f t="shared" si="0"/>
        <v/>
      </c>
      <c r="X10" s="609" t="str">
        <f t="shared" si="0"/>
        <v/>
      </c>
      <c r="Y10" s="609" t="str">
        <f t="shared" si="0"/>
        <v/>
      </c>
      <c r="Z10" s="609" t="str">
        <f t="shared" si="0"/>
        <v/>
      </c>
      <c r="AA10" s="609" t="str">
        <f t="shared" si="0"/>
        <v/>
      </c>
      <c r="AB10" s="609" t="str">
        <f t="shared" si="0"/>
        <v/>
      </c>
      <c r="AC10" s="609" t="str">
        <f t="shared" si="0"/>
        <v/>
      </c>
      <c r="AD10" s="609" t="str">
        <f t="shared" si="0"/>
        <v/>
      </c>
      <c r="AE10" s="609" t="str">
        <f t="shared" si="0"/>
        <v/>
      </c>
      <c r="AF10" s="609" t="str">
        <f t="shared" si="0"/>
        <v/>
      </c>
      <c r="AG10" s="609" t="str">
        <f t="shared" si="0"/>
        <v/>
      </c>
      <c r="AH10" s="609" t="str">
        <f t="shared" si="0"/>
        <v/>
      </c>
      <c r="AI10" s="609" t="str">
        <f t="shared" si="0"/>
        <v/>
      </c>
      <c r="AJ10" s="609" t="str">
        <f t="shared" si="0"/>
        <v/>
      </c>
      <c r="AK10" s="609" t="str">
        <f t="shared" si="0"/>
        <v/>
      </c>
      <c r="AL10" s="609" t="str">
        <f t="shared" si="0"/>
        <v/>
      </c>
      <c r="AM10" s="609" t="str">
        <f t="shared" si="0"/>
        <v/>
      </c>
      <c r="AN10" s="609" t="str">
        <f t="shared" si="0"/>
        <v/>
      </c>
      <c r="AO10" s="609" t="str">
        <f t="shared" si="0"/>
        <v/>
      </c>
      <c r="AP10" s="609" t="str">
        <f t="shared" si="0"/>
        <v/>
      </c>
      <c r="AQ10" s="609" t="str">
        <f t="shared" si="0"/>
        <v/>
      </c>
      <c r="AR10" s="609" t="str">
        <f t="shared" si="0"/>
        <v/>
      </c>
      <c r="AS10" s="609" t="str">
        <f t="shared" si="0"/>
        <v/>
      </c>
      <c r="AT10" s="609" t="str">
        <f t="shared" si="0"/>
        <v/>
      </c>
      <c r="AU10" s="609" t="str">
        <f t="shared" si="0"/>
        <v/>
      </c>
      <c r="AV10" s="609" t="str">
        <f t="shared" si="0"/>
        <v/>
      </c>
      <c r="AW10" s="609" t="str">
        <f t="shared" si="0"/>
        <v/>
      </c>
      <c r="AX10" s="609" t="str">
        <f t="shared" si="0"/>
        <v/>
      </c>
      <c r="AY10" s="609" t="str">
        <f t="shared" si="0"/>
        <v/>
      </c>
      <c r="AZ10" s="609" t="str">
        <f t="shared" si="0"/>
        <v/>
      </c>
      <c r="BA10" s="609" t="str">
        <f t="shared" si="0"/>
        <v/>
      </c>
      <c r="BB10" s="609" t="str">
        <f t="shared" si="0"/>
        <v/>
      </c>
      <c r="BC10" s="609" t="str">
        <f t="shared" si="0"/>
        <v/>
      </c>
      <c r="BD10" s="609" t="str">
        <f t="shared" si="0"/>
        <v/>
      </c>
      <c r="BE10" s="609" t="str">
        <f t="shared" si="0"/>
        <v/>
      </c>
      <c r="BF10" s="609" t="str">
        <f t="shared" si="0"/>
        <v/>
      </c>
      <c r="BG10" s="609" t="str">
        <f t="shared" si="0"/>
        <v/>
      </c>
    </row>
    <row r="11" spans="1:59" x14ac:dyDescent="0.25">
      <c r="B11" s="654">
        <v>5</v>
      </c>
      <c r="C11" s="654"/>
      <c r="D11" s="654"/>
      <c r="E11" s="655"/>
      <c r="F11" s="654"/>
      <c r="H11" s="609" t="str">
        <f t="shared" si="1"/>
        <v/>
      </c>
      <c r="I11" s="609" t="str">
        <f t="shared" si="0"/>
        <v/>
      </c>
      <c r="J11" s="609" t="str">
        <f t="shared" si="0"/>
        <v/>
      </c>
      <c r="K11" s="609" t="str">
        <f t="shared" si="0"/>
        <v/>
      </c>
      <c r="L11" s="609" t="str">
        <f t="shared" si="0"/>
        <v/>
      </c>
      <c r="M11" s="609" t="str">
        <f t="shared" si="0"/>
        <v/>
      </c>
      <c r="N11" s="609" t="str">
        <f t="shared" si="0"/>
        <v/>
      </c>
      <c r="O11" s="609" t="str">
        <f t="shared" si="0"/>
        <v/>
      </c>
      <c r="P11" s="609" t="str">
        <f t="shared" si="0"/>
        <v/>
      </c>
      <c r="Q11" s="609" t="str">
        <f t="shared" si="0"/>
        <v/>
      </c>
      <c r="R11" s="609" t="str">
        <f t="shared" si="0"/>
        <v/>
      </c>
      <c r="S11" s="609" t="str">
        <f t="shared" si="0"/>
        <v/>
      </c>
      <c r="T11" s="609" t="str">
        <f t="shared" si="0"/>
        <v/>
      </c>
      <c r="U11" s="609" t="str">
        <f t="shared" si="0"/>
        <v/>
      </c>
      <c r="V11" s="609" t="str">
        <f t="shared" si="0"/>
        <v/>
      </c>
      <c r="W11" s="609" t="str">
        <f t="shared" si="0"/>
        <v/>
      </c>
      <c r="X11" s="609" t="str">
        <f t="shared" si="0"/>
        <v/>
      </c>
      <c r="Y11" s="609" t="str">
        <f t="shared" si="0"/>
        <v/>
      </c>
      <c r="Z11" s="609" t="str">
        <f t="shared" si="0"/>
        <v/>
      </c>
      <c r="AA11" s="609" t="str">
        <f t="shared" si="0"/>
        <v/>
      </c>
      <c r="AB11" s="609" t="str">
        <f t="shared" si="0"/>
        <v/>
      </c>
      <c r="AC11" s="609" t="str">
        <f t="shared" si="0"/>
        <v/>
      </c>
      <c r="AD11" s="609" t="str">
        <f t="shared" si="0"/>
        <v/>
      </c>
      <c r="AE11" s="609" t="str">
        <f t="shared" si="0"/>
        <v/>
      </c>
      <c r="AF11" s="609" t="str">
        <f t="shared" si="0"/>
        <v/>
      </c>
      <c r="AG11" s="609" t="str">
        <f t="shared" si="0"/>
        <v/>
      </c>
      <c r="AH11" s="609" t="str">
        <f t="shared" si="0"/>
        <v/>
      </c>
      <c r="AI11" s="609" t="str">
        <f t="shared" si="0"/>
        <v/>
      </c>
      <c r="AJ11" s="609" t="str">
        <f t="shared" si="0"/>
        <v/>
      </c>
      <c r="AK11" s="609" t="str">
        <f t="shared" si="0"/>
        <v/>
      </c>
      <c r="AL11" s="609" t="str">
        <f t="shared" si="0"/>
        <v/>
      </c>
      <c r="AM11" s="609" t="str">
        <f t="shared" si="0"/>
        <v/>
      </c>
      <c r="AN11" s="609" t="str">
        <f t="shared" si="0"/>
        <v/>
      </c>
      <c r="AO11" s="609" t="str">
        <f t="shared" si="0"/>
        <v/>
      </c>
      <c r="AP11" s="609" t="str">
        <f t="shared" si="0"/>
        <v/>
      </c>
      <c r="AQ11" s="609" t="str">
        <f t="shared" si="0"/>
        <v/>
      </c>
      <c r="AR11" s="609" t="str">
        <f t="shared" si="0"/>
        <v/>
      </c>
      <c r="AS11" s="609" t="str">
        <f t="shared" si="0"/>
        <v/>
      </c>
      <c r="AT11" s="609" t="str">
        <f t="shared" si="0"/>
        <v/>
      </c>
      <c r="AU11" s="609" t="str">
        <f t="shared" si="0"/>
        <v/>
      </c>
      <c r="AV11" s="609" t="str">
        <f t="shared" si="0"/>
        <v/>
      </c>
      <c r="AW11" s="609" t="str">
        <f t="shared" si="0"/>
        <v/>
      </c>
      <c r="AX11" s="609" t="str">
        <f t="shared" si="0"/>
        <v/>
      </c>
      <c r="AY11" s="609" t="str">
        <f t="shared" si="0"/>
        <v/>
      </c>
      <c r="AZ11" s="609" t="str">
        <f t="shared" si="0"/>
        <v/>
      </c>
      <c r="BA11" s="609" t="str">
        <f t="shared" si="0"/>
        <v/>
      </c>
      <c r="BB11" s="609" t="str">
        <f t="shared" si="0"/>
        <v/>
      </c>
      <c r="BC11" s="609" t="str">
        <f t="shared" si="0"/>
        <v/>
      </c>
      <c r="BD11" s="609" t="str">
        <f t="shared" si="0"/>
        <v/>
      </c>
      <c r="BE11" s="609" t="str">
        <f t="shared" si="0"/>
        <v/>
      </c>
      <c r="BF11" s="609" t="str">
        <f t="shared" si="0"/>
        <v/>
      </c>
      <c r="BG11" s="609" t="str">
        <f t="shared" si="0"/>
        <v/>
      </c>
    </row>
    <row r="12" spans="1:59" x14ac:dyDescent="0.25">
      <c r="B12" s="654">
        <v>6</v>
      </c>
      <c r="C12" s="654"/>
      <c r="D12" s="654"/>
      <c r="E12" s="655"/>
      <c r="F12" s="654"/>
      <c r="H12" s="609" t="str">
        <f t="shared" si="1"/>
        <v/>
      </c>
      <c r="I12" s="609" t="str">
        <f t="shared" si="0"/>
        <v/>
      </c>
      <c r="J12" s="609" t="str">
        <f t="shared" si="0"/>
        <v/>
      </c>
      <c r="K12" s="609" t="str">
        <f t="shared" si="0"/>
        <v/>
      </c>
      <c r="L12" s="609" t="str">
        <f t="shared" si="0"/>
        <v/>
      </c>
      <c r="M12" s="609" t="str">
        <f t="shared" si="0"/>
        <v/>
      </c>
      <c r="N12" s="609" t="str">
        <f t="shared" si="0"/>
        <v/>
      </c>
      <c r="O12" s="609" t="str">
        <f t="shared" si="0"/>
        <v/>
      </c>
      <c r="P12" s="609" t="str">
        <f t="shared" si="0"/>
        <v/>
      </c>
      <c r="Q12" s="609" t="str">
        <f t="shared" si="0"/>
        <v/>
      </c>
      <c r="R12" s="609" t="str">
        <f t="shared" si="0"/>
        <v/>
      </c>
      <c r="S12" s="609" t="str">
        <f t="shared" si="0"/>
        <v/>
      </c>
      <c r="T12" s="609" t="str">
        <f t="shared" si="0"/>
        <v/>
      </c>
      <c r="U12" s="609" t="str">
        <f t="shared" si="0"/>
        <v/>
      </c>
      <c r="V12" s="609" t="str">
        <f t="shared" si="0"/>
        <v/>
      </c>
      <c r="W12" s="609" t="str">
        <f t="shared" si="0"/>
        <v/>
      </c>
      <c r="X12" s="609" t="str">
        <f t="shared" ref="I12:BG17" si="2">IF($D12=X$6,$B12&amp;", ","")</f>
        <v/>
      </c>
      <c r="Y12" s="609" t="str">
        <f t="shared" si="2"/>
        <v/>
      </c>
      <c r="Z12" s="609" t="str">
        <f t="shared" si="2"/>
        <v/>
      </c>
      <c r="AA12" s="609" t="str">
        <f t="shared" si="2"/>
        <v/>
      </c>
      <c r="AB12" s="609" t="str">
        <f t="shared" si="2"/>
        <v/>
      </c>
      <c r="AC12" s="609" t="str">
        <f t="shared" si="2"/>
        <v/>
      </c>
      <c r="AD12" s="609" t="str">
        <f t="shared" si="2"/>
        <v/>
      </c>
      <c r="AE12" s="609" t="str">
        <f t="shared" si="2"/>
        <v/>
      </c>
      <c r="AF12" s="609" t="str">
        <f t="shared" si="2"/>
        <v/>
      </c>
      <c r="AG12" s="609" t="str">
        <f t="shared" si="2"/>
        <v/>
      </c>
      <c r="AH12" s="609" t="str">
        <f t="shared" si="2"/>
        <v/>
      </c>
      <c r="AI12" s="609" t="str">
        <f t="shared" si="2"/>
        <v/>
      </c>
      <c r="AJ12" s="609" t="str">
        <f t="shared" si="2"/>
        <v/>
      </c>
      <c r="AK12" s="609" t="str">
        <f t="shared" si="2"/>
        <v/>
      </c>
      <c r="AL12" s="609" t="str">
        <f t="shared" si="2"/>
        <v/>
      </c>
      <c r="AM12" s="609" t="str">
        <f t="shared" si="2"/>
        <v/>
      </c>
      <c r="AN12" s="609" t="str">
        <f t="shared" si="2"/>
        <v/>
      </c>
      <c r="AO12" s="609" t="str">
        <f t="shared" si="2"/>
        <v/>
      </c>
      <c r="AP12" s="609" t="str">
        <f t="shared" si="2"/>
        <v/>
      </c>
      <c r="AQ12" s="609" t="str">
        <f t="shared" si="2"/>
        <v/>
      </c>
      <c r="AR12" s="609" t="str">
        <f t="shared" si="2"/>
        <v/>
      </c>
      <c r="AS12" s="609" t="str">
        <f t="shared" si="2"/>
        <v/>
      </c>
      <c r="AT12" s="609" t="str">
        <f t="shared" si="2"/>
        <v/>
      </c>
      <c r="AU12" s="609" t="str">
        <f t="shared" si="2"/>
        <v/>
      </c>
      <c r="AV12" s="609" t="str">
        <f t="shared" si="2"/>
        <v/>
      </c>
      <c r="AW12" s="609" t="str">
        <f t="shared" si="2"/>
        <v/>
      </c>
      <c r="AX12" s="609" t="str">
        <f t="shared" si="2"/>
        <v/>
      </c>
      <c r="AY12" s="609" t="str">
        <f t="shared" si="2"/>
        <v/>
      </c>
      <c r="AZ12" s="609" t="str">
        <f t="shared" si="2"/>
        <v/>
      </c>
      <c r="BA12" s="609" t="str">
        <f t="shared" si="2"/>
        <v/>
      </c>
      <c r="BB12" s="609" t="str">
        <f t="shared" si="2"/>
        <v/>
      </c>
      <c r="BC12" s="609" t="str">
        <f t="shared" si="2"/>
        <v/>
      </c>
      <c r="BD12" s="609" t="str">
        <f t="shared" si="2"/>
        <v/>
      </c>
      <c r="BE12" s="609" t="str">
        <f t="shared" si="2"/>
        <v/>
      </c>
      <c r="BF12" s="609" t="str">
        <f t="shared" si="2"/>
        <v/>
      </c>
      <c r="BG12" s="609" t="str">
        <f t="shared" si="2"/>
        <v/>
      </c>
    </row>
    <row r="13" spans="1:59" x14ac:dyDescent="0.25">
      <c r="B13" s="654">
        <v>7</v>
      </c>
      <c r="C13" s="654"/>
      <c r="D13" s="654"/>
      <c r="E13" s="655"/>
      <c r="F13" s="654"/>
      <c r="H13" s="609" t="str">
        <f t="shared" si="1"/>
        <v/>
      </c>
      <c r="I13" s="609" t="str">
        <f t="shared" si="2"/>
        <v/>
      </c>
      <c r="J13" s="609" t="str">
        <f t="shared" si="2"/>
        <v/>
      </c>
      <c r="K13" s="609" t="str">
        <f t="shared" si="2"/>
        <v/>
      </c>
      <c r="L13" s="609" t="str">
        <f t="shared" si="2"/>
        <v/>
      </c>
      <c r="M13" s="609" t="str">
        <f t="shared" si="2"/>
        <v/>
      </c>
      <c r="N13" s="609" t="str">
        <f t="shared" si="2"/>
        <v/>
      </c>
      <c r="O13" s="609" t="str">
        <f t="shared" si="2"/>
        <v/>
      </c>
      <c r="P13" s="609" t="str">
        <f t="shared" si="2"/>
        <v/>
      </c>
      <c r="Q13" s="609" t="str">
        <f t="shared" si="2"/>
        <v/>
      </c>
      <c r="R13" s="609" t="str">
        <f t="shared" si="2"/>
        <v/>
      </c>
      <c r="S13" s="609" t="str">
        <f t="shared" si="2"/>
        <v/>
      </c>
      <c r="T13" s="609" t="str">
        <f t="shared" si="2"/>
        <v/>
      </c>
      <c r="U13" s="609" t="str">
        <f t="shared" si="2"/>
        <v/>
      </c>
      <c r="V13" s="609" t="str">
        <f t="shared" si="2"/>
        <v/>
      </c>
      <c r="W13" s="609" t="str">
        <f t="shared" si="2"/>
        <v/>
      </c>
      <c r="X13" s="609" t="str">
        <f t="shared" si="2"/>
        <v/>
      </c>
      <c r="Y13" s="609" t="str">
        <f t="shared" si="2"/>
        <v/>
      </c>
      <c r="Z13" s="609" t="str">
        <f t="shared" si="2"/>
        <v/>
      </c>
      <c r="AA13" s="609" t="str">
        <f t="shared" si="2"/>
        <v/>
      </c>
      <c r="AB13" s="609" t="str">
        <f t="shared" si="2"/>
        <v/>
      </c>
      <c r="AC13" s="609" t="str">
        <f t="shared" si="2"/>
        <v/>
      </c>
      <c r="AD13" s="609" t="str">
        <f t="shared" si="2"/>
        <v/>
      </c>
      <c r="AE13" s="609" t="str">
        <f t="shared" si="2"/>
        <v/>
      </c>
      <c r="AF13" s="609" t="str">
        <f t="shared" si="2"/>
        <v/>
      </c>
      <c r="AG13" s="609" t="str">
        <f t="shared" si="2"/>
        <v/>
      </c>
      <c r="AH13" s="609" t="str">
        <f t="shared" si="2"/>
        <v/>
      </c>
      <c r="AI13" s="609" t="str">
        <f t="shared" si="2"/>
        <v/>
      </c>
      <c r="AJ13" s="609" t="str">
        <f t="shared" si="2"/>
        <v/>
      </c>
      <c r="AK13" s="609" t="str">
        <f t="shared" si="2"/>
        <v/>
      </c>
      <c r="AL13" s="609" t="str">
        <f t="shared" si="2"/>
        <v/>
      </c>
      <c r="AM13" s="609" t="str">
        <f t="shared" si="2"/>
        <v/>
      </c>
      <c r="AN13" s="609" t="str">
        <f t="shared" si="2"/>
        <v/>
      </c>
      <c r="AO13" s="609" t="str">
        <f t="shared" si="2"/>
        <v/>
      </c>
      <c r="AP13" s="609" t="str">
        <f t="shared" si="2"/>
        <v/>
      </c>
      <c r="AQ13" s="609" t="str">
        <f t="shared" si="2"/>
        <v/>
      </c>
      <c r="AR13" s="609" t="str">
        <f t="shared" si="2"/>
        <v/>
      </c>
      <c r="AS13" s="609" t="str">
        <f t="shared" si="2"/>
        <v/>
      </c>
      <c r="AT13" s="609" t="str">
        <f t="shared" si="2"/>
        <v/>
      </c>
      <c r="AU13" s="609" t="str">
        <f t="shared" si="2"/>
        <v/>
      </c>
      <c r="AV13" s="609" t="str">
        <f t="shared" si="2"/>
        <v/>
      </c>
      <c r="AW13" s="609" t="str">
        <f t="shared" si="2"/>
        <v/>
      </c>
      <c r="AX13" s="609" t="str">
        <f t="shared" si="2"/>
        <v/>
      </c>
      <c r="AY13" s="609" t="str">
        <f t="shared" si="2"/>
        <v/>
      </c>
      <c r="AZ13" s="609" t="str">
        <f t="shared" si="2"/>
        <v/>
      </c>
      <c r="BA13" s="609" t="str">
        <f t="shared" si="2"/>
        <v/>
      </c>
      <c r="BB13" s="609" t="str">
        <f t="shared" si="2"/>
        <v/>
      </c>
      <c r="BC13" s="609" t="str">
        <f t="shared" si="2"/>
        <v/>
      </c>
      <c r="BD13" s="609" t="str">
        <f t="shared" si="2"/>
        <v/>
      </c>
      <c r="BE13" s="609" t="str">
        <f t="shared" si="2"/>
        <v/>
      </c>
      <c r="BF13" s="609" t="str">
        <f t="shared" si="2"/>
        <v/>
      </c>
      <c r="BG13" s="609" t="str">
        <f t="shared" si="2"/>
        <v/>
      </c>
    </row>
    <row r="14" spans="1:59" x14ac:dyDescent="0.25">
      <c r="B14" s="654">
        <v>8</v>
      </c>
      <c r="C14" s="654"/>
      <c r="D14" s="654"/>
      <c r="E14" s="655"/>
      <c r="F14" s="654"/>
      <c r="G14" s="49"/>
      <c r="H14" s="609" t="str">
        <f t="shared" si="1"/>
        <v/>
      </c>
      <c r="I14" s="609" t="str">
        <f>IF($D14=I$6,$B14&amp;", ","")</f>
        <v/>
      </c>
      <c r="J14" s="609" t="str">
        <f t="shared" si="2"/>
        <v/>
      </c>
      <c r="K14" s="609" t="str">
        <f t="shared" si="2"/>
        <v/>
      </c>
      <c r="L14" s="609" t="str">
        <f t="shared" si="2"/>
        <v/>
      </c>
      <c r="M14" s="609" t="str">
        <f t="shared" si="2"/>
        <v/>
      </c>
      <c r="N14" s="609" t="str">
        <f t="shared" si="2"/>
        <v/>
      </c>
      <c r="O14" s="609" t="str">
        <f t="shared" si="2"/>
        <v/>
      </c>
      <c r="P14" s="609" t="str">
        <f t="shared" si="2"/>
        <v/>
      </c>
      <c r="Q14" s="609" t="str">
        <f t="shared" si="2"/>
        <v/>
      </c>
      <c r="R14" s="609" t="str">
        <f t="shared" si="2"/>
        <v/>
      </c>
      <c r="S14" s="609" t="str">
        <f t="shared" si="2"/>
        <v/>
      </c>
      <c r="T14" s="609" t="str">
        <f t="shared" si="2"/>
        <v/>
      </c>
      <c r="U14" s="609" t="str">
        <f t="shared" si="2"/>
        <v/>
      </c>
      <c r="V14" s="609" t="str">
        <f t="shared" si="2"/>
        <v/>
      </c>
      <c r="W14" s="609" t="str">
        <f t="shared" si="2"/>
        <v/>
      </c>
      <c r="X14" s="609" t="str">
        <f t="shared" si="2"/>
        <v/>
      </c>
      <c r="Y14" s="609" t="str">
        <f t="shared" si="2"/>
        <v/>
      </c>
      <c r="Z14" s="609" t="str">
        <f t="shared" si="2"/>
        <v/>
      </c>
      <c r="AA14" s="609" t="str">
        <f t="shared" si="2"/>
        <v/>
      </c>
      <c r="AB14" s="609" t="str">
        <f t="shared" si="2"/>
        <v/>
      </c>
      <c r="AC14" s="609" t="str">
        <f t="shared" si="2"/>
        <v/>
      </c>
      <c r="AD14" s="609" t="str">
        <f t="shared" si="2"/>
        <v/>
      </c>
      <c r="AE14" s="609" t="str">
        <f t="shared" si="2"/>
        <v/>
      </c>
      <c r="AF14" s="609" t="str">
        <f t="shared" si="2"/>
        <v/>
      </c>
      <c r="AG14" s="609" t="str">
        <f t="shared" si="2"/>
        <v/>
      </c>
      <c r="AH14" s="609" t="str">
        <f t="shared" si="2"/>
        <v/>
      </c>
      <c r="AI14" s="609" t="str">
        <f t="shared" si="2"/>
        <v/>
      </c>
      <c r="AJ14" s="609" t="str">
        <f t="shared" si="2"/>
        <v/>
      </c>
      <c r="AK14" s="609" t="str">
        <f t="shared" si="2"/>
        <v/>
      </c>
      <c r="AL14" s="609" t="str">
        <f t="shared" si="2"/>
        <v/>
      </c>
      <c r="AM14" s="609" t="str">
        <f t="shared" si="2"/>
        <v/>
      </c>
      <c r="AN14" s="609" t="str">
        <f t="shared" si="2"/>
        <v/>
      </c>
      <c r="AO14" s="609" t="str">
        <f t="shared" si="2"/>
        <v/>
      </c>
      <c r="AP14" s="609" t="str">
        <f t="shared" si="2"/>
        <v/>
      </c>
      <c r="AQ14" s="609" t="str">
        <f t="shared" si="2"/>
        <v/>
      </c>
      <c r="AR14" s="609" t="str">
        <f t="shared" si="2"/>
        <v/>
      </c>
      <c r="AS14" s="609" t="str">
        <f t="shared" si="2"/>
        <v/>
      </c>
      <c r="AT14" s="609" t="str">
        <f t="shared" si="2"/>
        <v/>
      </c>
      <c r="AU14" s="609" t="str">
        <f t="shared" si="2"/>
        <v/>
      </c>
      <c r="AV14" s="609" t="str">
        <f t="shared" si="2"/>
        <v/>
      </c>
      <c r="AW14" s="609" t="str">
        <f t="shared" si="2"/>
        <v/>
      </c>
      <c r="AX14" s="609" t="str">
        <f t="shared" si="2"/>
        <v/>
      </c>
      <c r="AY14" s="609" t="str">
        <f t="shared" si="2"/>
        <v/>
      </c>
      <c r="AZ14" s="609" t="str">
        <f t="shared" si="2"/>
        <v/>
      </c>
      <c r="BA14" s="609" t="str">
        <f t="shared" si="2"/>
        <v/>
      </c>
      <c r="BB14" s="609" t="str">
        <f t="shared" si="2"/>
        <v/>
      </c>
      <c r="BC14" s="609" t="str">
        <f t="shared" si="2"/>
        <v/>
      </c>
      <c r="BD14" s="609" t="str">
        <f t="shared" si="2"/>
        <v/>
      </c>
      <c r="BE14" s="609" t="str">
        <f t="shared" si="2"/>
        <v/>
      </c>
      <c r="BF14" s="609" t="str">
        <f t="shared" si="2"/>
        <v/>
      </c>
      <c r="BG14" s="609" t="str">
        <f t="shared" si="2"/>
        <v/>
      </c>
    </row>
    <row r="15" spans="1:59" x14ac:dyDescent="0.25">
      <c r="B15" s="654">
        <v>9</v>
      </c>
      <c r="C15" s="654"/>
      <c r="D15" s="654"/>
      <c r="E15" s="655"/>
      <c r="F15" s="654"/>
      <c r="H15" s="609" t="str">
        <f t="shared" si="1"/>
        <v/>
      </c>
      <c r="I15" s="609" t="str">
        <f t="shared" si="2"/>
        <v/>
      </c>
      <c r="J15" s="609" t="str">
        <f t="shared" si="2"/>
        <v/>
      </c>
      <c r="K15" s="609" t="str">
        <f t="shared" si="2"/>
        <v/>
      </c>
      <c r="L15" s="609" t="str">
        <f t="shared" si="2"/>
        <v/>
      </c>
      <c r="M15" s="609" t="str">
        <f t="shared" si="2"/>
        <v/>
      </c>
      <c r="N15" s="609" t="str">
        <f t="shared" si="2"/>
        <v/>
      </c>
      <c r="O15" s="609" t="str">
        <f t="shared" si="2"/>
        <v/>
      </c>
      <c r="P15" s="609" t="str">
        <f t="shared" si="2"/>
        <v/>
      </c>
      <c r="Q15" s="609" t="str">
        <f t="shared" si="2"/>
        <v/>
      </c>
      <c r="R15" s="609" t="str">
        <f t="shared" si="2"/>
        <v/>
      </c>
      <c r="S15" s="609" t="str">
        <f t="shared" si="2"/>
        <v/>
      </c>
      <c r="T15" s="609" t="str">
        <f t="shared" si="2"/>
        <v/>
      </c>
      <c r="U15" s="609" t="str">
        <f t="shared" si="2"/>
        <v/>
      </c>
      <c r="V15" s="609" t="str">
        <f t="shared" si="2"/>
        <v/>
      </c>
      <c r="W15" s="609" t="str">
        <f t="shared" si="2"/>
        <v/>
      </c>
      <c r="X15" s="609" t="str">
        <f t="shared" si="2"/>
        <v/>
      </c>
      <c r="Y15" s="609" t="str">
        <f t="shared" si="2"/>
        <v/>
      </c>
      <c r="Z15" s="609" t="str">
        <f t="shared" si="2"/>
        <v/>
      </c>
      <c r="AA15" s="609" t="str">
        <f t="shared" si="2"/>
        <v/>
      </c>
      <c r="AB15" s="609" t="str">
        <f t="shared" si="2"/>
        <v/>
      </c>
      <c r="AC15" s="609" t="str">
        <f t="shared" si="2"/>
        <v/>
      </c>
      <c r="AD15" s="609" t="str">
        <f t="shared" si="2"/>
        <v/>
      </c>
      <c r="AE15" s="609" t="str">
        <f t="shared" si="2"/>
        <v/>
      </c>
      <c r="AF15" s="609" t="str">
        <f t="shared" si="2"/>
        <v/>
      </c>
      <c r="AG15" s="609" t="str">
        <f t="shared" si="2"/>
        <v/>
      </c>
      <c r="AH15" s="609" t="str">
        <f t="shared" si="2"/>
        <v/>
      </c>
      <c r="AI15" s="609" t="str">
        <f t="shared" si="2"/>
        <v/>
      </c>
      <c r="AJ15" s="609" t="str">
        <f t="shared" si="2"/>
        <v/>
      </c>
      <c r="AK15" s="609" t="str">
        <f t="shared" si="2"/>
        <v/>
      </c>
      <c r="AL15" s="609" t="str">
        <f t="shared" si="2"/>
        <v/>
      </c>
      <c r="AM15" s="609" t="str">
        <f t="shared" si="2"/>
        <v/>
      </c>
      <c r="AN15" s="609" t="str">
        <f t="shared" si="2"/>
        <v/>
      </c>
      <c r="AO15" s="609" t="str">
        <f t="shared" si="2"/>
        <v/>
      </c>
      <c r="AP15" s="609" t="str">
        <f t="shared" si="2"/>
        <v/>
      </c>
      <c r="AQ15" s="609" t="str">
        <f t="shared" si="2"/>
        <v/>
      </c>
      <c r="AR15" s="609" t="str">
        <f t="shared" si="2"/>
        <v/>
      </c>
      <c r="AS15" s="609" t="str">
        <f t="shared" si="2"/>
        <v/>
      </c>
      <c r="AT15" s="609" t="str">
        <f t="shared" si="2"/>
        <v/>
      </c>
      <c r="AU15" s="609" t="str">
        <f t="shared" si="2"/>
        <v/>
      </c>
      <c r="AV15" s="609" t="str">
        <f t="shared" si="2"/>
        <v/>
      </c>
      <c r="AW15" s="609" t="str">
        <f t="shared" si="2"/>
        <v/>
      </c>
      <c r="AX15" s="609" t="str">
        <f t="shared" si="2"/>
        <v/>
      </c>
      <c r="AY15" s="609" t="str">
        <f t="shared" si="2"/>
        <v/>
      </c>
      <c r="AZ15" s="609" t="str">
        <f t="shared" si="2"/>
        <v/>
      </c>
      <c r="BA15" s="609" t="str">
        <f t="shared" si="2"/>
        <v/>
      </c>
      <c r="BB15" s="609" t="str">
        <f t="shared" si="2"/>
        <v/>
      </c>
      <c r="BC15" s="609" t="str">
        <f t="shared" si="2"/>
        <v/>
      </c>
      <c r="BD15" s="609" t="str">
        <f t="shared" si="2"/>
        <v/>
      </c>
      <c r="BE15" s="609" t="str">
        <f t="shared" si="2"/>
        <v/>
      </c>
      <c r="BF15" s="609" t="str">
        <f t="shared" si="2"/>
        <v/>
      </c>
      <c r="BG15" s="609" t="str">
        <f t="shared" si="2"/>
        <v/>
      </c>
    </row>
    <row r="16" spans="1:59" x14ac:dyDescent="0.25">
      <c r="B16" s="654">
        <v>10</v>
      </c>
      <c r="C16" s="654"/>
      <c r="D16" s="654"/>
      <c r="E16" s="655"/>
      <c r="F16" s="654"/>
      <c r="H16" s="609" t="str">
        <f t="shared" si="1"/>
        <v/>
      </c>
      <c r="I16" s="609" t="str">
        <f t="shared" si="2"/>
        <v/>
      </c>
      <c r="J16" s="609" t="str">
        <f t="shared" si="2"/>
        <v/>
      </c>
      <c r="K16" s="609" t="str">
        <f t="shared" si="2"/>
        <v/>
      </c>
      <c r="L16" s="609" t="str">
        <f t="shared" si="2"/>
        <v/>
      </c>
      <c r="M16" s="609" t="str">
        <f t="shared" si="2"/>
        <v/>
      </c>
      <c r="N16" s="609" t="str">
        <f t="shared" si="2"/>
        <v/>
      </c>
      <c r="O16" s="609" t="str">
        <f t="shared" si="2"/>
        <v/>
      </c>
      <c r="P16" s="609" t="str">
        <f t="shared" si="2"/>
        <v/>
      </c>
      <c r="Q16" s="609" t="str">
        <f t="shared" si="2"/>
        <v/>
      </c>
      <c r="R16" s="609" t="str">
        <f t="shared" si="2"/>
        <v/>
      </c>
      <c r="S16" s="609" t="str">
        <f t="shared" si="2"/>
        <v/>
      </c>
      <c r="T16" s="609" t="str">
        <f t="shared" si="2"/>
        <v/>
      </c>
      <c r="U16" s="609" t="str">
        <f t="shared" si="2"/>
        <v/>
      </c>
      <c r="V16" s="609" t="str">
        <f t="shared" si="2"/>
        <v/>
      </c>
      <c r="W16" s="609" t="str">
        <f t="shared" si="2"/>
        <v/>
      </c>
      <c r="X16" s="609" t="str">
        <f t="shared" si="2"/>
        <v/>
      </c>
      <c r="Y16" s="609" t="str">
        <f t="shared" si="2"/>
        <v/>
      </c>
      <c r="Z16" s="609" t="str">
        <f t="shared" si="2"/>
        <v/>
      </c>
      <c r="AA16" s="609" t="str">
        <f t="shared" si="2"/>
        <v/>
      </c>
      <c r="AB16" s="609" t="str">
        <f t="shared" si="2"/>
        <v/>
      </c>
      <c r="AC16" s="609" t="str">
        <f t="shared" si="2"/>
        <v/>
      </c>
      <c r="AD16" s="609" t="str">
        <f t="shared" si="2"/>
        <v/>
      </c>
      <c r="AE16" s="609" t="str">
        <f t="shared" si="2"/>
        <v/>
      </c>
      <c r="AF16" s="609" t="str">
        <f t="shared" si="2"/>
        <v/>
      </c>
      <c r="AG16" s="609" t="str">
        <f t="shared" si="2"/>
        <v/>
      </c>
      <c r="AH16" s="609" t="str">
        <f t="shared" si="2"/>
        <v/>
      </c>
      <c r="AI16" s="609" t="str">
        <f t="shared" si="2"/>
        <v/>
      </c>
      <c r="AJ16" s="609" t="str">
        <f t="shared" si="2"/>
        <v/>
      </c>
      <c r="AK16" s="609" t="str">
        <f t="shared" si="2"/>
        <v/>
      </c>
      <c r="AL16" s="609" t="str">
        <f t="shared" si="2"/>
        <v/>
      </c>
      <c r="AM16" s="609" t="str">
        <f t="shared" si="2"/>
        <v/>
      </c>
      <c r="AN16" s="609" t="str">
        <f t="shared" si="2"/>
        <v/>
      </c>
      <c r="AO16" s="609" t="str">
        <f t="shared" si="2"/>
        <v/>
      </c>
      <c r="AP16" s="609" t="str">
        <f t="shared" si="2"/>
        <v/>
      </c>
      <c r="AQ16" s="609" t="str">
        <f t="shared" si="2"/>
        <v/>
      </c>
      <c r="AR16" s="609" t="str">
        <f t="shared" si="2"/>
        <v/>
      </c>
      <c r="AS16" s="609" t="str">
        <f t="shared" si="2"/>
        <v/>
      </c>
      <c r="AT16" s="609" t="str">
        <f t="shared" si="2"/>
        <v/>
      </c>
      <c r="AU16" s="609" t="str">
        <f t="shared" si="2"/>
        <v/>
      </c>
      <c r="AV16" s="609" t="str">
        <f t="shared" si="2"/>
        <v/>
      </c>
      <c r="AW16" s="609" t="str">
        <f t="shared" si="2"/>
        <v/>
      </c>
      <c r="AX16" s="609" t="str">
        <f t="shared" si="2"/>
        <v/>
      </c>
      <c r="AY16" s="609" t="str">
        <f t="shared" si="2"/>
        <v/>
      </c>
      <c r="AZ16" s="609" t="str">
        <f t="shared" si="2"/>
        <v/>
      </c>
      <c r="BA16" s="609" t="str">
        <f t="shared" si="2"/>
        <v/>
      </c>
      <c r="BB16" s="609" t="str">
        <f t="shared" si="2"/>
        <v/>
      </c>
      <c r="BC16" s="609" t="str">
        <f t="shared" si="2"/>
        <v/>
      </c>
      <c r="BD16" s="609" t="str">
        <f t="shared" si="2"/>
        <v/>
      </c>
      <c r="BE16" s="609" t="str">
        <f t="shared" si="2"/>
        <v/>
      </c>
      <c r="BF16" s="609" t="str">
        <f t="shared" si="2"/>
        <v/>
      </c>
      <c r="BG16" s="609" t="str">
        <f t="shared" si="2"/>
        <v/>
      </c>
    </row>
    <row r="17" spans="2:59" x14ac:dyDescent="0.25">
      <c r="B17" s="654">
        <v>11</v>
      </c>
      <c r="C17" s="654"/>
      <c r="D17" s="654"/>
      <c r="E17" s="655"/>
      <c r="F17" s="654"/>
      <c r="H17" s="609" t="str">
        <f t="shared" si="1"/>
        <v/>
      </c>
      <c r="I17" s="609" t="str">
        <f t="shared" si="2"/>
        <v/>
      </c>
      <c r="J17" s="609" t="str">
        <f t="shared" si="2"/>
        <v/>
      </c>
      <c r="K17" s="609" t="str">
        <f t="shared" si="2"/>
        <v/>
      </c>
      <c r="L17" s="609" t="str">
        <f t="shared" si="2"/>
        <v/>
      </c>
      <c r="M17" s="609" t="str">
        <f t="shared" si="2"/>
        <v/>
      </c>
      <c r="N17" s="609" t="str">
        <f t="shared" si="2"/>
        <v/>
      </c>
      <c r="O17" s="609" t="str">
        <f t="shared" si="2"/>
        <v/>
      </c>
      <c r="P17" s="609" t="str">
        <f t="shared" si="2"/>
        <v/>
      </c>
      <c r="Q17" s="609" t="str">
        <f t="shared" si="2"/>
        <v/>
      </c>
      <c r="R17" s="609" t="str">
        <f t="shared" si="2"/>
        <v/>
      </c>
      <c r="S17" s="609" t="str">
        <f t="shared" si="2"/>
        <v/>
      </c>
      <c r="T17" s="609" t="str">
        <f t="shared" si="2"/>
        <v/>
      </c>
      <c r="U17" s="609" t="str">
        <f t="shared" si="2"/>
        <v/>
      </c>
      <c r="V17" s="609" t="str">
        <f t="shared" si="2"/>
        <v/>
      </c>
      <c r="W17" s="609" t="str">
        <f t="shared" si="2"/>
        <v/>
      </c>
      <c r="X17" s="609" t="str">
        <f t="shared" ref="I17:BG22" si="3">IF($D17=X$6,$B17&amp;", ","")</f>
        <v/>
      </c>
      <c r="Y17" s="609" t="str">
        <f t="shared" si="3"/>
        <v/>
      </c>
      <c r="Z17" s="609" t="str">
        <f t="shared" si="3"/>
        <v/>
      </c>
      <c r="AA17" s="609" t="str">
        <f t="shared" si="3"/>
        <v/>
      </c>
      <c r="AB17" s="609" t="str">
        <f t="shared" si="3"/>
        <v/>
      </c>
      <c r="AC17" s="609" t="str">
        <f t="shared" si="3"/>
        <v/>
      </c>
      <c r="AD17" s="609" t="str">
        <f t="shared" si="3"/>
        <v/>
      </c>
      <c r="AE17" s="609" t="str">
        <f t="shared" si="3"/>
        <v/>
      </c>
      <c r="AF17" s="609" t="str">
        <f t="shared" si="3"/>
        <v/>
      </c>
      <c r="AG17" s="609" t="str">
        <f t="shared" si="3"/>
        <v/>
      </c>
      <c r="AH17" s="609" t="str">
        <f t="shared" si="3"/>
        <v/>
      </c>
      <c r="AI17" s="609" t="str">
        <f t="shared" si="3"/>
        <v/>
      </c>
      <c r="AJ17" s="609" t="str">
        <f t="shared" si="3"/>
        <v/>
      </c>
      <c r="AK17" s="609" t="str">
        <f t="shared" si="3"/>
        <v/>
      </c>
      <c r="AL17" s="609" t="str">
        <f t="shared" si="3"/>
        <v/>
      </c>
      <c r="AM17" s="609" t="str">
        <f t="shared" si="3"/>
        <v/>
      </c>
      <c r="AN17" s="609" t="str">
        <f t="shared" si="3"/>
        <v/>
      </c>
      <c r="AO17" s="609" t="str">
        <f t="shared" si="3"/>
        <v/>
      </c>
      <c r="AP17" s="609" t="str">
        <f t="shared" si="3"/>
        <v/>
      </c>
      <c r="AQ17" s="609" t="str">
        <f t="shared" si="3"/>
        <v/>
      </c>
      <c r="AR17" s="609" t="str">
        <f t="shared" si="3"/>
        <v/>
      </c>
      <c r="AS17" s="609" t="str">
        <f t="shared" si="3"/>
        <v/>
      </c>
      <c r="AT17" s="609" t="str">
        <f t="shared" si="3"/>
        <v/>
      </c>
      <c r="AU17" s="609" t="str">
        <f t="shared" si="3"/>
        <v/>
      </c>
      <c r="AV17" s="609" t="str">
        <f t="shared" si="3"/>
        <v/>
      </c>
      <c r="AW17" s="609" t="str">
        <f t="shared" si="3"/>
        <v/>
      </c>
      <c r="AX17" s="609" t="str">
        <f t="shared" si="3"/>
        <v/>
      </c>
      <c r="AY17" s="609" t="str">
        <f t="shared" si="3"/>
        <v/>
      </c>
      <c r="AZ17" s="609" t="str">
        <f t="shared" si="3"/>
        <v/>
      </c>
      <c r="BA17" s="609" t="str">
        <f t="shared" si="3"/>
        <v/>
      </c>
      <c r="BB17" s="609" t="str">
        <f t="shared" si="3"/>
        <v/>
      </c>
      <c r="BC17" s="609" t="str">
        <f t="shared" si="3"/>
        <v/>
      </c>
      <c r="BD17" s="609" t="str">
        <f t="shared" si="3"/>
        <v/>
      </c>
      <c r="BE17" s="609" t="str">
        <f t="shared" si="3"/>
        <v/>
      </c>
      <c r="BF17" s="609" t="str">
        <f t="shared" si="3"/>
        <v/>
      </c>
      <c r="BG17" s="609" t="str">
        <f t="shared" si="3"/>
        <v/>
      </c>
    </row>
    <row r="18" spans="2:59" x14ac:dyDescent="0.25">
      <c r="B18" s="654">
        <v>12</v>
      </c>
      <c r="C18" s="654"/>
      <c r="D18" s="654"/>
      <c r="E18" s="655"/>
      <c r="F18" s="654"/>
      <c r="H18" s="609" t="str">
        <f t="shared" si="1"/>
        <v/>
      </c>
      <c r="I18" s="609" t="str">
        <f t="shared" si="3"/>
        <v/>
      </c>
      <c r="J18" s="609" t="str">
        <f t="shared" si="3"/>
        <v/>
      </c>
      <c r="K18" s="609" t="str">
        <f t="shared" si="3"/>
        <v/>
      </c>
      <c r="L18" s="609" t="str">
        <f t="shared" si="3"/>
        <v/>
      </c>
      <c r="M18" s="609" t="str">
        <f t="shared" si="3"/>
        <v/>
      </c>
      <c r="N18" s="609" t="str">
        <f t="shared" si="3"/>
        <v/>
      </c>
      <c r="O18" s="609" t="str">
        <f t="shared" si="3"/>
        <v/>
      </c>
      <c r="P18" s="609" t="str">
        <f t="shared" si="3"/>
        <v/>
      </c>
      <c r="Q18" s="609" t="str">
        <f t="shared" si="3"/>
        <v/>
      </c>
      <c r="R18" s="609" t="str">
        <f t="shared" si="3"/>
        <v/>
      </c>
      <c r="S18" s="609" t="str">
        <f t="shared" si="3"/>
        <v/>
      </c>
      <c r="T18" s="609" t="str">
        <f t="shared" si="3"/>
        <v/>
      </c>
      <c r="U18" s="609" t="str">
        <f t="shared" si="3"/>
        <v/>
      </c>
      <c r="V18" s="609" t="str">
        <f t="shared" si="3"/>
        <v/>
      </c>
      <c r="W18" s="609" t="str">
        <f t="shared" si="3"/>
        <v/>
      </c>
      <c r="X18" s="609" t="str">
        <f t="shared" si="3"/>
        <v/>
      </c>
      <c r="Y18" s="609" t="str">
        <f t="shared" si="3"/>
        <v/>
      </c>
      <c r="Z18" s="609" t="str">
        <f t="shared" si="3"/>
        <v/>
      </c>
      <c r="AA18" s="609" t="str">
        <f t="shared" si="3"/>
        <v/>
      </c>
      <c r="AB18" s="609" t="str">
        <f t="shared" si="3"/>
        <v/>
      </c>
      <c r="AC18" s="609" t="str">
        <f t="shared" si="3"/>
        <v/>
      </c>
      <c r="AD18" s="609" t="str">
        <f t="shared" si="3"/>
        <v/>
      </c>
      <c r="AE18" s="609" t="str">
        <f t="shared" si="3"/>
        <v/>
      </c>
      <c r="AF18" s="609" t="str">
        <f t="shared" si="3"/>
        <v/>
      </c>
      <c r="AG18" s="609" t="str">
        <f t="shared" si="3"/>
        <v/>
      </c>
      <c r="AH18" s="609" t="str">
        <f t="shared" si="3"/>
        <v/>
      </c>
      <c r="AI18" s="609" t="str">
        <f t="shared" si="3"/>
        <v/>
      </c>
      <c r="AJ18" s="609" t="str">
        <f t="shared" si="3"/>
        <v/>
      </c>
      <c r="AK18" s="609" t="str">
        <f t="shared" si="3"/>
        <v/>
      </c>
      <c r="AL18" s="609" t="str">
        <f t="shared" si="3"/>
        <v/>
      </c>
      <c r="AM18" s="609" t="str">
        <f t="shared" si="3"/>
        <v/>
      </c>
      <c r="AN18" s="609" t="str">
        <f t="shared" si="3"/>
        <v/>
      </c>
      <c r="AO18" s="609" t="str">
        <f t="shared" si="3"/>
        <v/>
      </c>
      <c r="AP18" s="609" t="str">
        <f t="shared" si="3"/>
        <v/>
      </c>
      <c r="AQ18" s="609" t="str">
        <f t="shared" si="3"/>
        <v/>
      </c>
      <c r="AR18" s="609" t="str">
        <f t="shared" si="3"/>
        <v/>
      </c>
      <c r="AS18" s="609" t="str">
        <f t="shared" si="3"/>
        <v/>
      </c>
      <c r="AT18" s="609" t="str">
        <f t="shared" si="3"/>
        <v/>
      </c>
      <c r="AU18" s="609" t="str">
        <f t="shared" si="3"/>
        <v/>
      </c>
      <c r="AV18" s="609" t="str">
        <f t="shared" si="3"/>
        <v/>
      </c>
      <c r="AW18" s="609" t="str">
        <f t="shared" si="3"/>
        <v/>
      </c>
      <c r="AX18" s="609" t="str">
        <f t="shared" si="3"/>
        <v/>
      </c>
      <c r="AY18" s="609" t="str">
        <f t="shared" si="3"/>
        <v/>
      </c>
      <c r="AZ18" s="609" t="str">
        <f t="shared" si="3"/>
        <v/>
      </c>
      <c r="BA18" s="609" t="str">
        <f t="shared" si="3"/>
        <v/>
      </c>
      <c r="BB18" s="609" t="str">
        <f t="shared" si="3"/>
        <v/>
      </c>
      <c r="BC18" s="609" t="str">
        <f t="shared" si="3"/>
        <v/>
      </c>
      <c r="BD18" s="609" t="str">
        <f t="shared" si="3"/>
        <v/>
      </c>
      <c r="BE18" s="609" t="str">
        <f t="shared" si="3"/>
        <v/>
      </c>
      <c r="BF18" s="609" t="str">
        <f t="shared" si="3"/>
        <v/>
      </c>
      <c r="BG18" s="609" t="str">
        <f t="shared" si="3"/>
        <v/>
      </c>
    </row>
    <row r="19" spans="2:59" x14ac:dyDescent="0.25">
      <c r="B19" s="654">
        <v>13</v>
      </c>
      <c r="C19" s="654"/>
      <c r="D19" s="654"/>
      <c r="E19" s="655"/>
      <c r="F19" s="654"/>
      <c r="H19" s="609" t="str">
        <f t="shared" si="1"/>
        <v/>
      </c>
      <c r="I19" s="609" t="str">
        <f t="shared" si="3"/>
        <v/>
      </c>
      <c r="J19" s="609" t="str">
        <f t="shared" si="3"/>
        <v/>
      </c>
      <c r="K19" s="609" t="str">
        <f t="shared" si="3"/>
        <v/>
      </c>
      <c r="L19" s="609" t="str">
        <f t="shared" si="3"/>
        <v/>
      </c>
      <c r="M19" s="609" t="str">
        <f t="shared" si="3"/>
        <v/>
      </c>
      <c r="N19" s="609" t="str">
        <f t="shared" si="3"/>
        <v/>
      </c>
      <c r="O19" s="609" t="str">
        <f t="shared" si="3"/>
        <v/>
      </c>
      <c r="P19" s="609" t="str">
        <f t="shared" si="3"/>
        <v/>
      </c>
      <c r="Q19" s="609" t="str">
        <f t="shared" si="3"/>
        <v/>
      </c>
      <c r="R19" s="609" t="str">
        <f t="shared" si="3"/>
        <v/>
      </c>
      <c r="S19" s="609" t="str">
        <f t="shared" si="3"/>
        <v/>
      </c>
      <c r="T19" s="609" t="str">
        <f t="shared" si="3"/>
        <v/>
      </c>
      <c r="U19" s="609" t="str">
        <f t="shared" si="3"/>
        <v/>
      </c>
      <c r="V19" s="609" t="str">
        <f t="shared" si="3"/>
        <v/>
      </c>
      <c r="W19" s="609" t="str">
        <f t="shared" si="3"/>
        <v/>
      </c>
      <c r="X19" s="609" t="str">
        <f t="shared" si="3"/>
        <v/>
      </c>
      <c r="Y19" s="609" t="str">
        <f t="shared" si="3"/>
        <v/>
      </c>
      <c r="Z19" s="609" t="str">
        <f t="shared" si="3"/>
        <v/>
      </c>
      <c r="AA19" s="609" t="str">
        <f t="shared" si="3"/>
        <v/>
      </c>
      <c r="AB19" s="609" t="str">
        <f t="shared" si="3"/>
        <v/>
      </c>
      <c r="AC19" s="609" t="str">
        <f t="shared" si="3"/>
        <v/>
      </c>
      <c r="AD19" s="609" t="str">
        <f t="shared" si="3"/>
        <v/>
      </c>
      <c r="AE19" s="609" t="str">
        <f t="shared" si="3"/>
        <v/>
      </c>
      <c r="AF19" s="609" t="str">
        <f t="shared" si="3"/>
        <v/>
      </c>
      <c r="AG19" s="609" t="str">
        <f t="shared" si="3"/>
        <v/>
      </c>
      <c r="AH19" s="609" t="str">
        <f t="shared" si="3"/>
        <v/>
      </c>
      <c r="AI19" s="609" t="str">
        <f t="shared" si="3"/>
        <v/>
      </c>
      <c r="AJ19" s="609" t="str">
        <f t="shared" si="3"/>
        <v/>
      </c>
      <c r="AK19" s="609" t="str">
        <f t="shared" si="3"/>
        <v/>
      </c>
      <c r="AL19" s="609" t="str">
        <f t="shared" si="3"/>
        <v/>
      </c>
      <c r="AM19" s="609" t="str">
        <f t="shared" si="3"/>
        <v/>
      </c>
      <c r="AN19" s="609" t="str">
        <f t="shared" si="3"/>
        <v/>
      </c>
      <c r="AO19" s="609" t="str">
        <f t="shared" si="3"/>
        <v/>
      </c>
      <c r="AP19" s="609" t="str">
        <f t="shared" si="3"/>
        <v/>
      </c>
      <c r="AQ19" s="609" t="str">
        <f t="shared" si="3"/>
        <v/>
      </c>
      <c r="AR19" s="609" t="str">
        <f t="shared" si="3"/>
        <v/>
      </c>
      <c r="AS19" s="609" t="str">
        <f t="shared" si="3"/>
        <v/>
      </c>
      <c r="AT19" s="609" t="str">
        <f t="shared" si="3"/>
        <v/>
      </c>
      <c r="AU19" s="609" t="str">
        <f t="shared" si="3"/>
        <v/>
      </c>
      <c r="AV19" s="609" t="str">
        <f t="shared" si="3"/>
        <v/>
      </c>
      <c r="AW19" s="609" t="str">
        <f t="shared" si="3"/>
        <v/>
      </c>
      <c r="AX19" s="609" t="str">
        <f t="shared" si="3"/>
        <v/>
      </c>
      <c r="AY19" s="609" t="str">
        <f t="shared" si="3"/>
        <v/>
      </c>
      <c r="AZ19" s="609" t="str">
        <f t="shared" si="3"/>
        <v/>
      </c>
      <c r="BA19" s="609" t="str">
        <f t="shared" si="3"/>
        <v/>
      </c>
      <c r="BB19" s="609" t="str">
        <f t="shared" si="3"/>
        <v/>
      </c>
      <c r="BC19" s="609" t="str">
        <f t="shared" si="3"/>
        <v/>
      </c>
      <c r="BD19" s="609" t="str">
        <f t="shared" si="3"/>
        <v/>
      </c>
      <c r="BE19" s="609" t="str">
        <f t="shared" si="3"/>
        <v/>
      </c>
      <c r="BF19" s="609" t="str">
        <f t="shared" si="3"/>
        <v/>
      </c>
      <c r="BG19" s="609" t="str">
        <f t="shared" si="3"/>
        <v/>
      </c>
    </row>
    <row r="20" spans="2:59" x14ac:dyDescent="0.25">
      <c r="B20" s="654">
        <v>14</v>
      </c>
      <c r="C20" s="654"/>
      <c r="D20" s="654"/>
      <c r="E20" s="655"/>
      <c r="F20" s="654"/>
      <c r="H20" s="609" t="str">
        <f t="shared" si="1"/>
        <v/>
      </c>
      <c r="I20" s="609" t="str">
        <f t="shared" si="3"/>
        <v/>
      </c>
      <c r="J20" s="609" t="str">
        <f t="shared" si="3"/>
        <v/>
      </c>
      <c r="K20" s="609" t="str">
        <f t="shared" si="3"/>
        <v/>
      </c>
      <c r="L20" s="609" t="str">
        <f t="shared" si="3"/>
        <v/>
      </c>
      <c r="M20" s="609" t="str">
        <f t="shared" si="3"/>
        <v/>
      </c>
      <c r="N20" s="609" t="str">
        <f t="shared" si="3"/>
        <v/>
      </c>
      <c r="O20" s="609" t="str">
        <f t="shared" si="3"/>
        <v/>
      </c>
      <c r="P20" s="609" t="str">
        <f t="shared" si="3"/>
        <v/>
      </c>
      <c r="Q20" s="609" t="str">
        <f t="shared" si="3"/>
        <v/>
      </c>
      <c r="R20" s="609" t="str">
        <f t="shared" si="3"/>
        <v/>
      </c>
      <c r="S20" s="609" t="str">
        <f t="shared" si="3"/>
        <v/>
      </c>
      <c r="T20" s="609" t="str">
        <f t="shared" si="3"/>
        <v/>
      </c>
      <c r="U20" s="609" t="str">
        <f t="shared" si="3"/>
        <v/>
      </c>
      <c r="V20" s="609" t="str">
        <f t="shared" si="3"/>
        <v/>
      </c>
      <c r="W20" s="609" t="str">
        <f t="shared" si="3"/>
        <v/>
      </c>
      <c r="X20" s="609" t="str">
        <f t="shared" si="3"/>
        <v/>
      </c>
      <c r="Y20" s="609" t="str">
        <f t="shared" si="3"/>
        <v/>
      </c>
      <c r="Z20" s="609" t="str">
        <f t="shared" si="3"/>
        <v/>
      </c>
      <c r="AA20" s="609" t="str">
        <f t="shared" si="3"/>
        <v/>
      </c>
      <c r="AB20" s="609" t="str">
        <f t="shared" si="3"/>
        <v/>
      </c>
      <c r="AC20" s="609" t="str">
        <f t="shared" si="3"/>
        <v/>
      </c>
      <c r="AD20" s="609" t="str">
        <f t="shared" si="3"/>
        <v/>
      </c>
      <c r="AE20" s="609" t="str">
        <f t="shared" si="3"/>
        <v/>
      </c>
      <c r="AF20" s="609" t="str">
        <f t="shared" si="3"/>
        <v/>
      </c>
      <c r="AG20" s="609" t="str">
        <f t="shared" si="3"/>
        <v/>
      </c>
      <c r="AH20" s="609" t="str">
        <f t="shared" si="3"/>
        <v/>
      </c>
      <c r="AI20" s="609" t="str">
        <f t="shared" si="3"/>
        <v/>
      </c>
      <c r="AJ20" s="609" t="str">
        <f t="shared" si="3"/>
        <v/>
      </c>
      <c r="AK20" s="609" t="str">
        <f t="shared" si="3"/>
        <v/>
      </c>
      <c r="AL20" s="609" t="str">
        <f t="shared" si="3"/>
        <v/>
      </c>
      <c r="AM20" s="609" t="str">
        <f t="shared" si="3"/>
        <v/>
      </c>
      <c r="AN20" s="609" t="str">
        <f t="shared" si="3"/>
        <v/>
      </c>
      <c r="AO20" s="609" t="str">
        <f t="shared" si="3"/>
        <v/>
      </c>
      <c r="AP20" s="609" t="str">
        <f t="shared" si="3"/>
        <v/>
      </c>
      <c r="AQ20" s="609" t="str">
        <f t="shared" si="3"/>
        <v/>
      </c>
      <c r="AR20" s="609" t="str">
        <f t="shared" si="3"/>
        <v/>
      </c>
      <c r="AS20" s="609" t="str">
        <f t="shared" si="3"/>
        <v/>
      </c>
      <c r="AT20" s="609" t="str">
        <f t="shared" si="3"/>
        <v/>
      </c>
      <c r="AU20" s="609" t="str">
        <f t="shared" si="3"/>
        <v/>
      </c>
      <c r="AV20" s="609" t="str">
        <f t="shared" si="3"/>
        <v/>
      </c>
      <c r="AW20" s="609" t="str">
        <f t="shared" si="3"/>
        <v/>
      </c>
      <c r="AX20" s="609" t="str">
        <f t="shared" si="3"/>
        <v/>
      </c>
      <c r="AY20" s="609" t="str">
        <f t="shared" si="3"/>
        <v/>
      </c>
      <c r="AZ20" s="609" t="str">
        <f t="shared" si="3"/>
        <v/>
      </c>
      <c r="BA20" s="609" t="str">
        <f t="shared" si="3"/>
        <v/>
      </c>
      <c r="BB20" s="609" t="str">
        <f t="shared" si="3"/>
        <v/>
      </c>
      <c r="BC20" s="609" t="str">
        <f t="shared" si="3"/>
        <v/>
      </c>
      <c r="BD20" s="609" t="str">
        <f t="shared" si="3"/>
        <v/>
      </c>
      <c r="BE20" s="609" t="str">
        <f t="shared" si="3"/>
        <v/>
      </c>
      <c r="BF20" s="609" t="str">
        <f t="shared" si="3"/>
        <v/>
      </c>
      <c r="BG20" s="609" t="str">
        <f t="shared" si="3"/>
        <v/>
      </c>
    </row>
    <row r="21" spans="2:59" x14ac:dyDescent="0.25">
      <c r="B21" s="654">
        <v>15</v>
      </c>
      <c r="C21" s="654"/>
      <c r="D21" s="654"/>
      <c r="E21" s="655"/>
      <c r="F21" s="654"/>
      <c r="H21" s="609" t="str">
        <f t="shared" si="1"/>
        <v/>
      </c>
      <c r="I21" s="609" t="str">
        <f t="shared" si="3"/>
        <v/>
      </c>
      <c r="J21" s="609" t="str">
        <f t="shared" si="3"/>
        <v/>
      </c>
      <c r="K21" s="609" t="str">
        <f t="shared" si="3"/>
        <v/>
      </c>
      <c r="L21" s="609" t="str">
        <f t="shared" si="3"/>
        <v/>
      </c>
      <c r="M21" s="609" t="str">
        <f t="shared" si="3"/>
        <v/>
      </c>
      <c r="N21" s="609" t="str">
        <f t="shared" si="3"/>
        <v/>
      </c>
      <c r="O21" s="609" t="str">
        <f t="shared" si="3"/>
        <v/>
      </c>
      <c r="P21" s="609" t="str">
        <f t="shared" si="3"/>
        <v/>
      </c>
      <c r="Q21" s="609" t="str">
        <f t="shared" si="3"/>
        <v/>
      </c>
      <c r="R21" s="609" t="str">
        <f t="shared" si="3"/>
        <v/>
      </c>
      <c r="S21" s="609" t="str">
        <f t="shared" si="3"/>
        <v/>
      </c>
      <c r="T21" s="609" t="str">
        <f t="shared" si="3"/>
        <v/>
      </c>
      <c r="U21" s="609" t="str">
        <f t="shared" si="3"/>
        <v/>
      </c>
      <c r="V21" s="609" t="str">
        <f t="shared" si="3"/>
        <v/>
      </c>
      <c r="W21" s="609" t="str">
        <f t="shared" si="3"/>
        <v/>
      </c>
      <c r="X21" s="609" t="str">
        <f t="shared" si="3"/>
        <v/>
      </c>
      <c r="Y21" s="609" t="str">
        <f t="shared" si="3"/>
        <v/>
      </c>
      <c r="Z21" s="609" t="str">
        <f t="shared" si="3"/>
        <v/>
      </c>
      <c r="AA21" s="609" t="str">
        <f t="shared" si="3"/>
        <v/>
      </c>
      <c r="AB21" s="609" t="str">
        <f t="shared" si="3"/>
        <v/>
      </c>
      <c r="AC21" s="609" t="str">
        <f t="shared" si="3"/>
        <v/>
      </c>
      <c r="AD21" s="609" t="str">
        <f t="shared" si="3"/>
        <v/>
      </c>
      <c r="AE21" s="609" t="str">
        <f t="shared" si="3"/>
        <v/>
      </c>
      <c r="AF21" s="609" t="str">
        <f t="shared" si="3"/>
        <v/>
      </c>
      <c r="AG21" s="609" t="str">
        <f t="shared" si="3"/>
        <v/>
      </c>
      <c r="AH21" s="609" t="str">
        <f t="shared" si="3"/>
        <v/>
      </c>
      <c r="AI21" s="609" t="str">
        <f t="shared" si="3"/>
        <v/>
      </c>
      <c r="AJ21" s="609" t="str">
        <f t="shared" si="3"/>
        <v/>
      </c>
      <c r="AK21" s="609" t="str">
        <f t="shared" si="3"/>
        <v/>
      </c>
      <c r="AL21" s="609" t="str">
        <f t="shared" si="3"/>
        <v/>
      </c>
      <c r="AM21" s="609" t="str">
        <f t="shared" si="3"/>
        <v/>
      </c>
      <c r="AN21" s="609" t="str">
        <f t="shared" si="3"/>
        <v/>
      </c>
      <c r="AO21" s="609" t="str">
        <f t="shared" si="3"/>
        <v/>
      </c>
      <c r="AP21" s="609" t="str">
        <f t="shared" si="3"/>
        <v/>
      </c>
      <c r="AQ21" s="609" t="str">
        <f t="shared" si="3"/>
        <v/>
      </c>
      <c r="AR21" s="609" t="str">
        <f t="shared" si="3"/>
        <v/>
      </c>
      <c r="AS21" s="609" t="str">
        <f t="shared" si="3"/>
        <v/>
      </c>
      <c r="AT21" s="609" t="str">
        <f t="shared" si="3"/>
        <v/>
      </c>
      <c r="AU21" s="609" t="str">
        <f t="shared" si="3"/>
        <v/>
      </c>
      <c r="AV21" s="609" t="str">
        <f t="shared" si="3"/>
        <v/>
      </c>
      <c r="AW21" s="609" t="str">
        <f t="shared" si="3"/>
        <v/>
      </c>
      <c r="AX21" s="609" t="str">
        <f t="shared" si="3"/>
        <v/>
      </c>
      <c r="AY21" s="609" t="str">
        <f t="shared" si="3"/>
        <v/>
      </c>
      <c r="AZ21" s="609" t="str">
        <f t="shared" si="3"/>
        <v/>
      </c>
      <c r="BA21" s="609" t="str">
        <f t="shared" si="3"/>
        <v/>
      </c>
      <c r="BB21" s="609" t="str">
        <f t="shared" si="3"/>
        <v/>
      </c>
      <c r="BC21" s="609" t="str">
        <f t="shared" si="3"/>
        <v/>
      </c>
      <c r="BD21" s="609" t="str">
        <f t="shared" si="3"/>
        <v/>
      </c>
      <c r="BE21" s="609" t="str">
        <f t="shared" si="3"/>
        <v/>
      </c>
      <c r="BF21" s="609" t="str">
        <f t="shared" si="3"/>
        <v/>
      </c>
      <c r="BG21" s="609" t="str">
        <f t="shared" si="3"/>
        <v/>
      </c>
    </row>
    <row r="22" spans="2:59" x14ac:dyDescent="0.25">
      <c r="B22" s="654">
        <v>16</v>
      </c>
      <c r="C22" s="654"/>
      <c r="D22" s="654"/>
      <c r="E22" s="655"/>
      <c r="F22" s="654"/>
      <c r="H22" s="609" t="str">
        <f t="shared" si="1"/>
        <v/>
      </c>
      <c r="I22" s="609" t="str">
        <f t="shared" si="3"/>
        <v/>
      </c>
      <c r="J22" s="609" t="str">
        <f t="shared" si="3"/>
        <v/>
      </c>
      <c r="K22" s="609" t="str">
        <f t="shared" si="3"/>
        <v/>
      </c>
      <c r="L22" s="609" t="str">
        <f t="shared" si="3"/>
        <v/>
      </c>
      <c r="M22" s="609" t="str">
        <f t="shared" si="3"/>
        <v/>
      </c>
      <c r="N22" s="609" t="str">
        <f t="shared" si="3"/>
        <v/>
      </c>
      <c r="O22" s="609" t="str">
        <f t="shared" si="3"/>
        <v/>
      </c>
      <c r="P22" s="609" t="str">
        <f t="shared" si="3"/>
        <v/>
      </c>
      <c r="Q22" s="609" t="str">
        <f t="shared" si="3"/>
        <v/>
      </c>
      <c r="R22" s="609" t="str">
        <f t="shared" si="3"/>
        <v/>
      </c>
      <c r="S22" s="609" t="str">
        <f t="shared" si="3"/>
        <v/>
      </c>
      <c r="T22" s="609" t="str">
        <f t="shared" si="3"/>
        <v/>
      </c>
      <c r="U22" s="609" t="str">
        <f t="shared" si="3"/>
        <v/>
      </c>
      <c r="V22" s="609" t="str">
        <f t="shared" si="3"/>
        <v/>
      </c>
      <c r="W22" s="609" t="str">
        <f t="shared" si="3"/>
        <v/>
      </c>
      <c r="X22" s="609" t="str">
        <f t="shared" ref="I22:BG27" si="4">IF($D22=X$6,$B22&amp;", ","")</f>
        <v/>
      </c>
      <c r="Y22" s="609" t="str">
        <f t="shared" si="4"/>
        <v/>
      </c>
      <c r="Z22" s="609" t="str">
        <f t="shared" si="4"/>
        <v/>
      </c>
      <c r="AA22" s="609" t="str">
        <f t="shared" si="4"/>
        <v/>
      </c>
      <c r="AB22" s="609" t="str">
        <f t="shared" si="4"/>
        <v/>
      </c>
      <c r="AC22" s="609" t="str">
        <f t="shared" si="4"/>
        <v/>
      </c>
      <c r="AD22" s="609" t="str">
        <f t="shared" si="4"/>
        <v/>
      </c>
      <c r="AE22" s="609" t="str">
        <f t="shared" si="4"/>
        <v/>
      </c>
      <c r="AF22" s="609" t="str">
        <f t="shared" si="4"/>
        <v/>
      </c>
      <c r="AG22" s="609" t="str">
        <f t="shared" si="4"/>
        <v/>
      </c>
      <c r="AH22" s="609" t="str">
        <f t="shared" si="4"/>
        <v/>
      </c>
      <c r="AI22" s="609" t="str">
        <f t="shared" si="4"/>
        <v/>
      </c>
      <c r="AJ22" s="609" t="str">
        <f t="shared" si="4"/>
        <v/>
      </c>
      <c r="AK22" s="609" t="str">
        <f t="shared" si="4"/>
        <v/>
      </c>
      <c r="AL22" s="609" t="str">
        <f t="shared" si="4"/>
        <v/>
      </c>
      <c r="AM22" s="609" t="str">
        <f t="shared" si="4"/>
        <v/>
      </c>
      <c r="AN22" s="609" t="str">
        <f t="shared" si="4"/>
        <v/>
      </c>
      <c r="AO22" s="609" t="str">
        <f t="shared" si="4"/>
        <v/>
      </c>
      <c r="AP22" s="609" t="str">
        <f t="shared" si="4"/>
        <v/>
      </c>
      <c r="AQ22" s="609" t="str">
        <f t="shared" si="4"/>
        <v/>
      </c>
      <c r="AR22" s="609" t="str">
        <f t="shared" si="4"/>
        <v/>
      </c>
      <c r="AS22" s="609" t="str">
        <f t="shared" si="4"/>
        <v/>
      </c>
      <c r="AT22" s="609" t="str">
        <f t="shared" si="4"/>
        <v/>
      </c>
      <c r="AU22" s="609" t="str">
        <f t="shared" si="4"/>
        <v/>
      </c>
      <c r="AV22" s="609" t="str">
        <f t="shared" si="4"/>
        <v/>
      </c>
      <c r="AW22" s="609" t="str">
        <f t="shared" si="4"/>
        <v/>
      </c>
      <c r="AX22" s="609" t="str">
        <f t="shared" si="4"/>
        <v/>
      </c>
      <c r="AY22" s="609" t="str">
        <f t="shared" si="4"/>
        <v/>
      </c>
      <c r="AZ22" s="609" t="str">
        <f t="shared" si="4"/>
        <v/>
      </c>
      <c r="BA22" s="609" t="str">
        <f t="shared" si="4"/>
        <v/>
      </c>
      <c r="BB22" s="609" t="str">
        <f t="shared" si="4"/>
        <v/>
      </c>
      <c r="BC22" s="609" t="str">
        <f t="shared" si="4"/>
        <v/>
      </c>
      <c r="BD22" s="609" t="str">
        <f t="shared" si="4"/>
        <v/>
      </c>
      <c r="BE22" s="609" t="str">
        <f t="shared" si="4"/>
        <v/>
      </c>
      <c r="BF22" s="609" t="str">
        <f t="shared" si="4"/>
        <v/>
      </c>
      <c r="BG22" s="609" t="str">
        <f t="shared" si="4"/>
        <v/>
      </c>
    </row>
    <row r="23" spans="2:59" x14ac:dyDescent="0.25">
      <c r="B23" s="654">
        <v>17</v>
      </c>
      <c r="C23" s="654"/>
      <c r="D23" s="654"/>
      <c r="E23" s="655"/>
      <c r="F23" s="654"/>
      <c r="H23" s="609" t="str">
        <f t="shared" si="1"/>
        <v/>
      </c>
      <c r="I23" s="609" t="str">
        <f t="shared" si="4"/>
        <v/>
      </c>
      <c r="J23" s="609" t="str">
        <f t="shared" si="4"/>
        <v/>
      </c>
      <c r="K23" s="609" t="str">
        <f t="shared" si="4"/>
        <v/>
      </c>
      <c r="L23" s="609" t="str">
        <f t="shared" si="4"/>
        <v/>
      </c>
      <c r="M23" s="609" t="str">
        <f t="shared" si="4"/>
        <v/>
      </c>
      <c r="N23" s="609" t="str">
        <f t="shared" si="4"/>
        <v/>
      </c>
      <c r="O23" s="609" t="str">
        <f t="shared" si="4"/>
        <v/>
      </c>
      <c r="P23" s="609" t="str">
        <f t="shared" si="4"/>
        <v/>
      </c>
      <c r="Q23" s="609" t="str">
        <f t="shared" si="4"/>
        <v/>
      </c>
      <c r="R23" s="609" t="str">
        <f t="shared" si="4"/>
        <v/>
      </c>
      <c r="S23" s="609" t="str">
        <f t="shared" si="4"/>
        <v/>
      </c>
      <c r="T23" s="609" t="str">
        <f t="shared" si="4"/>
        <v/>
      </c>
      <c r="U23" s="609" t="str">
        <f t="shared" si="4"/>
        <v/>
      </c>
      <c r="V23" s="609" t="str">
        <f t="shared" si="4"/>
        <v/>
      </c>
      <c r="W23" s="609" t="str">
        <f t="shared" si="4"/>
        <v/>
      </c>
      <c r="X23" s="609" t="str">
        <f t="shared" si="4"/>
        <v/>
      </c>
      <c r="Y23" s="609" t="str">
        <f t="shared" si="4"/>
        <v/>
      </c>
      <c r="Z23" s="609" t="str">
        <f t="shared" si="4"/>
        <v/>
      </c>
      <c r="AA23" s="609" t="str">
        <f t="shared" si="4"/>
        <v/>
      </c>
      <c r="AB23" s="609" t="str">
        <f t="shared" si="4"/>
        <v/>
      </c>
      <c r="AC23" s="609" t="str">
        <f t="shared" si="4"/>
        <v/>
      </c>
      <c r="AD23" s="609" t="str">
        <f t="shared" si="4"/>
        <v/>
      </c>
      <c r="AE23" s="609" t="str">
        <f t="shared" si="4"/>
        <v/>
      </c>
      <c r="AF23" s="609" t="str">
        <f t="shared" si="4"/>
        <v/>
      </c>
      <c r="AG23" s="609" t="str">
        <f t="shared" si="4"/>
        <v/>
      </c>
      <c r="AH23" s="609" t="str">
        <f t="shared" si="4"/>
        <v/>
      </c>
      <c r="AI23" s="609" t="str">
        <f t="shared" si="4"/>
        <v/>
      </c>
      <c r="AJ23" s="609" t="str">
        <f t="shared" si="4"/>
        <v/>
      </c>
      <c r="AK23" s="609" t="str">
        <f t="shared" si="4"/>
        <v/>
      </c>
      <c r="AL23" s="609" t="str">
        <f t="shared" si="4"/>
        <v/>
      </c>
      <c r="AM23" s="609" t="str">
        <f t="shared" si="4"/>
        <v/>
      </c>
      <c r="AN23" s="609" t="str">
        <f t="shared" si="4"/>
        <v/>
      </c>
      <c r="AO23" s="609" t="str">
        <f t="shared" si="4"/>
        <v/>
      </c>
      <c r="AP23" s="609" t="str">
        <f t="shared" si="4"/>
        <v/>
      </c>
      <c r="AQ23" s="609" t="str">
        <f t="shared" si="4"/>
        <v/>
      </c>
      <c r="AR23" s="609" t="str">
        <f t="shared" si="4"/>
        <v/>
      </c>
      <c r="AS23" s="609" t="str">
        <f t="shared" si="4"/>
        <v/>
      </c>
      <c r="AT23" s="609" t="str">
        <f t="shared" si="4"/>
        <v/>
      </c>
      <c r="AU23" s="609" t="str">
        <f t="shared" si="4"/>
        <v/>
      </c>
      <c r="AV23" s="609" t="str">
        <f t="shared" si="4"/>
        <v/>
      </c>
      <c r="AW23" s="609" t="str">
        <f t="shared" si="4"/>
        <v/>
      </c>
      <c r="AX23" s="609" t="str">
        <f t="shared" si="4"/>
        <v/>
      </c>
      <c r="AY23" s="609" t="str">
        <f t="shared" si="4"/>
        <v/>
      </c>
      <c r="AZ23" s="609" t="str">
        <f t="shared" si="4"/>
        <v/>
      </c>
      <c r="BA23" s="609" t="str">
        <f t="shared" si="4"/>
        <v/>
      </c>
      <c r="BB23" s="609" t="str">
        <f t="shared" si="4"/>
        <v/>
      </c>
      <c r="BC23" s="609" t="str">
        <f t="shared" si="4"/>
        <v/>
      </c>
      <c r="BD23" s="609" t="str">
        <f t="shared" si="4"/>
        <v/>
      </c>
      <c r="BE23" s="609" t="str">
        <f t="shared" si="4"/>
        <v/>
      </c>
      <c r="BF23" s="609" t="str">
        <f t="shared" si="4"/>
        <v/>
      </c>
      <c r="BG23" s="609" t="str">
        <f t="shared" si="4"/>
        <v/>
      </c>
    </row>
    <row r="24" spans="2:59" x14ac:dyDescent="0.25">
      <c r="B24" s="654">
        <v>18</v>
      </c>
      <c r="C24" s="654"/>
      <c r="D24" s="654"/>
      <c r="E24" s="655"/>
      <c r="F24" s="654"/>
      <c r="H24" s="609" t="str">
        <f t="shared" si="1"/>
        <v/>
      </c>
      <c r="I24" s="609" t="str">
        <f t="shared" si="4"/>
        <v/>
      </c>
      <c r="J24" s="609" t="str">
        <f t="shared" si="4"/>
        <v/>
      </c>
      <c r="K24" s="609" t="str">
        <f t="shared" si="4"/>
        <v/>
      </c>
      <c r="L24" s="609" t="str">
        <f t="shared" si="4"/>
        <v/>
      </c>
      <c r="M24" s="609" t="str">
        <f t="shared" si="4"/>
        <v/>
      </c>
      <c r="N24" s="609" t="str">
        <f t="shared" si="4"/>
        <v/>
      </c>
      <c r="O24" s="609" t="str">
        <f t="shared" si="4"/>
        <v/>
      </c>
      <c r="P24" s="609" t="str">
        <f t="shared" si="4"/>
        <v/>
      </c>
      <c r="Q24" s="609" t="str">
        <f t="shared" si="4"/>
        <v/>
      </c>
      <c r="R24" s="609" t="str">
        <f t="shared" si="4"/>
        <v/>
      </c>
      <c r="S24" s="609" t="str">
        <f t="shared" si="4"/>
        <v/>
      </c>
      <c r="T24" s="609" t="str">
        <f t="shared" si="4"/>
        <v/>
      </c>
      <c r="U24" s="609" t="str">
        <f t="shared" si="4"/>
        <v/>
      </c>
      <c r="V24" s="609" t="str">
        <f t="shared" si="4"/>
        <v/>
      </c>
      <c r="W24" s="609" t="str">
        <f t="shared" si="4"/>
        <v/>
      </c>
      <c r="X24" s="609" t="str">
        <f t="shared" si="4"/>
        <v/>
      </c>
      <c r="Y24" s="609" t="str">
        <f t="shared" si="4"/>
        <v/>
      </c>
      <c r="Z24" s="609" t="str">
        <f t="shared" si="4"/>
        <v/>
      </c>
      <c r="AA24" s="609" t="str">
        <f t="shared" si="4"/>
        <v/>
      </c>
      <c r="AB24" s="609" t="str">
        <f t="shared" si="4"/>
        <v/>
      </c>
      <c r="AC24" s="609" t="str">
        <f t="shared" si="4"/>
        <v/>
      </c>
      <c r="AD24" s="609" t="str">
        <f t="shared" si="4"/>
        <v/>
      </c>
      <c r="AE24" s="609" t="str">
        <f t="shared" si="4"/>
        <v/>
      </c>
      <c r="AF24" s="609" t="str">
        <f t="shared" si="4"/>
        <v/>
      </c>
      <c r="AG24" s="609" t="str">
        <f t="shared" si="4"/>
        <v/>
      </c>
      <c r="AH24" s="609" t="str">
        <f t="shared" si="4"/>
        <v/>
      </c>
      <c r="AI24" s="609" t="str">
        <f t="shared" si="4"/>
        <v/>
      </c>
      <c r="AJ24" s="609" t="str">
        <f t="shared" si="4"/>
        <v/>
      </c>
      <c r="AK24" s="609" t="str">
        <f t="shared" si="4"/>
        <v/>
      </c>
      <c r="AL24" s="609" t="str">
        <f t="shared" si="4"/>
        <v/>
      </c>
      <c r="AM24" s="609" t="str">
        <f t="shared" si="4"/>
        <v/>
      </c>
      <c r="AN24" s="609" t="str">
        <f t="shared" si="4"/>
        <v/>
      </c>
      <c r="AO24" s="609" t="str">
        <f t="shared" si="4"/>
        <v/>
      </c>
      <c r="AP24" s="609" t="str">
        <f t="shared" si="4"/>
        <v/>
      </c>
      <c r="AQ24" s="609" t="str">
        <f t="shared" si="4"/>
        <v/>
      </c>
      <c r="AR24" s="609" t="str">
        <f t="shared" si="4"/>
        <v/>
      </c>
      <c r="AS24" s="609" t="str">
        <f t="shared" si="4"/>
        <v/>
      </c>
      <c r="AT24" s="609" t="str">
        <f t="shared" si="4"/>
        <v/>
      </c>
      <c r="AU24" s="609" t="str">
        <f t="shared" si="4"/>
        <v/>
      </c>
      <c r="AV24" s="609" t="str">
        <f t="shared" si="4"/>
        <v/>
      </c>
      <c r="AW24" s="609" t="str">
        <f t="shared" si="4"/>
        <v/>
      </c>
      <c r="AX24" s="609" t="str">
        <f t="shared" si="4"/>
        <v/>
      </c>
      <c r="AY24" s="609" t="str">
        <f t="shared" si="4"/>
        <v/>
      </c>
      <c r="AZ24" s="609" t="str">
        <f t="shared" si="4"/>
        <v/>
      </c>
      <c r="BA24" s="609" t="str">
        <f t="shared" si="4"/>
        <v/>
      </c>
      <c r="BB24" s="609" t="str">
        <f t="shared" si="4"/>
        <v/>
      </c>
      <c r="BC24" s="609" t="str">
        <f t="shared" si="4"/>
        <v/>
      </c>
      <c r="BD24" s="609" t="str">
        <f t="shared" si="4"/>
        <v/>
      </c>
      <c r="BE24" s="609" t="str">
        <f t="shared" si="4"/>
        <v/>
      </c>
      <c r="BF24" s="609" t="str">
        <f t="shared" si="4"/>
        <v/>
      </c>
      <c r="BG24" s="609" t="str">
        <f t="shared" si="4"/>
        <v/>
      </c>
    </row>
    <row r="25" spans="2:59" x14ac:dyDescent="0.25">
      <c r="B25" s="654">
        <v>19</v>
      </c>
      <c r="C25" s="654"/>
      <c r="D25" s="654"/>
      <c r="E25" s="655"/>
      <c r="F25" s="654"/>
      <c r="H25" s="609" t="str">
        <f t="shared" si="1"/>
        <v/>
      </c>
      <c r="I25" s="609" t="str">
        <f t="shared" si="4"/>
        <v/>
      </c>
      <c r="J25" s="609" t="str">
        <f t="shared" si="4"/>
        <v/>
      </c>
      <c r="K25" s="609" t="str">
        <f t="shared" si="4"/>
        <v/>
      </c>
      <c r="L25" s="609" t="str">
        <f t="shared" si="4"/>
        <v/>
      </c>
      <c r="M25" s="609" t="str">
        <f t="shared" si="4"/>
        <v/>
      </c>
      <c r="N25" s="609" t="str">
        <f t="shared" si="4"/>
        <v/>
      </c>
      <c r="O25" s="609" t="str">
        <f t="shared" si="4"/>
        <v/>
      </c>
      <c r="P25" s="609" t="str">
        <f t="shared" si="4"/>
        <v/>
      </c>
      <c r="Q25" s="609" t="str">
        <f t="shared" si="4"/>
        <v/>
      </c>
      <c r="R25" s="609" t="str">
        <f t="shared" si="4"/>
        <v/>
      </c>
      <c r="S25" s="609" t="str">
        <f t="shared" si="4"/>
        <v/>
      </c>
      <c r="T25" s="609" t="str">
        <f t="shared" si="4"/>
        <v/>
      </c>
      <c r="U25" s="609" t="str">
        <f t="shared" si="4"/>
        <v/>
      </c>
      <c r="V25" s="609" t="str">
        <f t="shared" si="4"/>
        <v/>
      </c>
      <c r="W25" s="609" t="str">
        <f t="shared" si="4"/>
        <v/>
      </c>
      <c r="X25" s="609" t="str">
        <f t="shared" si="4"/>
        <v/>
      </c>
      <c r="Y25" s="609" t="str">
        <f t="shared" si="4"/>
        <v/>
      </c>
      <c r="Z25" s="609" t="str">
        <f t="shared" si="4"/>
        <v/>
      </c>
      <c r="AA25" s="609" t="str">
        <f t="shared" si="4"/>
        <v/>
      </c>
      <c r="AB25" s="609" t="str">
        <f t="shared" si="4"/>
        <v/>
      </c>
      <c r="AC25" s="609" t="str">
        <f t="shared" si="4"/>
        <v/>
      </c>
      <c r="AD25" s="609" t="str">
        <f t="shared" si="4"/>
        <v/>
      </c>
      <c r="AE25" s="609" t="str">
        <f t="shared" si="4"/>
        <v/>
      </c>
      <c r="AF25" s="609" t="str">
        <f t="shared" si="4"/>
        <v/>
      </c>
      <c r="AG25" s="609" t="str">
        <f t="shared" si="4"/>
        <v/>
      </c>
      <c r="AH25" s="609" t="str">
        <f t="shared" si="4"/>
        <v/>
      </c>
      <c r="AI25" s="609" t="str">
        <f t="shared" si="4"/>
        <v/>
      </c>
      <c r="AJ25" s="609" t="str">
        <f t="shared" si="4"/>
        <v/>
      </c>
      <c r="AK25" s="609" t="str">
        <f t="shared" si="4"/>
        <v/>
      </c>
      <c r="AL25" s="609" t="str">
        <f t="shared" si="4"/>
        <v/>
      </c>
      <c r="AM25" s="609" t="str">
        <f t="shared" si="4"/>
        <v/>
      </c>
      <c r="AN25" s="609" t="str">
        <f t="shared" si="4"/>
        <v/>
      </c>
      <c r="AO25" s="609" t="str">
        <f t="shared" si="4"/>
        <v/>
      </c>
      <c r="AP25" s="609" t="str">
        <f t="shared" si="4"/>
        <v/>
      </c>
      <c r="AQ25" s="609" t="str">
        <f t="shared" si="4"/>
        <v/>
      </c>
      <c r="AR25" s="609" t="str">
        <f t="shared" si="4"/>
        <v/>
      </c>
      <c r="AS25" s="609" t="str">
        <f t="shared" si="4"/>
        <v/>
      </c>
      <c r="AT25" s="609" t="str">
        <f t="shared" si="4"/>
        <v/>
      </c>
      <c r="AU25" s="609" t="str">
        <f t="shared" si="4"/>
        <v/>
      </c>
      <c r="AV25" s="609" t="str">
        <f t="shared" si="4"/>
        <v/>
      </c>
      <c r="AW25" s="609" t="str">
        <f t="shared" si="4"/>
        <v/>
      </c>
      <c r="AX25" s="609" t="str">
        <f t="shared" si="4"/>
        <v/>
      </c>
      <c r="AY25" s="609" t="str">
        <f t="shared" si="4"/>
        <v/>
      </c>
      <c r="AZ25" s="609" t="str">
        <f t="shared" si="4"/>
        <v/>
      </c>
      <c r="BA25" s="609" t="str">
        <f t="shared" si="4"/>
        <v/>
      </c>
      <c r="BB25" s="609" t="str">
        <f t="shared" si="4"/>
        <v/>
      </c>
      <c r="BC25" s="609" t="str">
        <f t="shared" si="4"/>
        <v/>
      </c>
      <c r="BD25" s="609" t="str">
        <f t="shared" si="4"/>
        <v/>
      </c>
      <c r="BE25" s="609" t="str">
        <f t="shared" si="4"/>
        <v/>
      </c>
      <c r="BF25" s="609" t="str">
        <f t="shared" si="4"/>
        <v/>
      </c>
      <c r="BG25" s="609" t="str">
        <f t="shared" si="4"/>
        <v/>
      </c>
    </row>
    <row r="26" spans="2:59" x14ac:dyDescent="0.25">
      <c r="B26" s="654">
        <v>20</v>
      </c>
      <c r="C26" s="654"/>
      <c r="D26" s="654"/>
      <c r="E26" s="655"/>
      <c r="F26" s="654"/>
      <c r="H26" s="609" t="str">
        <f t="shared" si="1"/>
        <v/>
      </c>
      <c r="I26" s="609" t="str">
        <f t="shared" si="4"/>
        <v/>
      </c>
      <c r="J26" s="609" t="str">
        <f t="shared" si="4"/>
        <v/>
      </c>
      <c r="K26" s="609" t="str">
        <f t="shared" si="4"/>
        <v/>
      </c>
      <c r="L26" s="609" t="str">
        <f t="shared" si="4"/>
        <v/>
      </c>
      <c r="M26" s="609" t="str">
        <f t="shared" si="4"/>
        <v/>
      </c>
      <c r="N26" s="609" t="str">
        <f t="shared" si="4"/>
        <v/>
      </c>
      <c r="O26" s="609" t="str">
        <f t="shared" si="4"/>
        <v/>
      </c>
      <c r="P26" s="609" t="str">
        <f t="shared" si="4"/>
        <v/>
      </c>
      <c r="Q26" s="609" t="str">
        <f t="shared" si="4"/>
        <v/>
      </c>
      <c r="R26" s="609" t="str">
        <f t="shared" si="4"/>
        <v/>
      </c>
      <c r="S26" s="609" t="str">
        <f t="shared" si="4"/>
        <v/>
      </c>
      <c r="T26" s="609" t="str">
        <f t="shared" si="4"/>
        <v/>
      </c>
      <c r="U26" s="609" t="str">
        <f t="shared" si="4"/>
        <v/>
      </c>
      <c r="V26" s="609" t="str">
        <f t="shared" si="4"/>
        <v/>
      </c>
      <c r="W26" s="609" t="str">
        <f t="shared" si="4"/>
        <v/>
      </c>
      <c r="X26" s="609" t="str">
        <f t="shared" si="4"/>
        <v/>
      </c>
      <c r="Y26" s="609" t="str">
        <f t="shared" si="4"/>
        <v/>
      </c>
      <c r="Z26" s="609" t="str">
        <f t="shared" si="4"/>
        <v/>
      </c>
      <c r="AA26" s="609" t="str">
        <f t="shared" si="4"/>
        <v/>
      </c>
      <c r="AB26" s="609" t="str">
        <f t="shared" si="4"/>
        <v/>
      </c>
      <c r="AC26" s="609" t="str">
        <f t="shared" si="4"/>
        <v/>
      </c>
      <c r="AD26" s="609" t="str">
        <f t="shared" si="4"/>
        <v/>
      </c>
      <c r="AE26" s="609" t="str">
        <f t="shared" si="4"/>
        <v/>
      </c>
      <c r="AF26" s="609" t="str">
        <f t="shared" si="4"/>
        <v/>
      </c>
      <c r="AG26" s="609" t="str">
        <f t="shared" si="4"/>
        <v/>
      </c>
      <c r="AH26" s="609" t="str">
        <f t="shared" si="4"/>
        <v/>
      </c>
      <c r="AI26" s="609" t="str">
        <f t="shared" si="4"/>
        <v/>
      </c>
      <c r="AJ26" s="609" t="str">
        <f t="shared" si="4"/>
        <v/>
      </c>
      <c r="AK26" s="609" t="str">
        <f t="shared" si="4"/>
        <v/>
      </c>
      <c r="AL26" s="609" t="str">
        <f t="shared" si="4"/>
        <v/>
      </c>
      <c r="AM26" s="609" t="str">
        <f t="shared" si="4"/>
        <v/>
      </c>
      <c r="AN26" s="609" t="str">
        <f t="shared" si="4"/>
        <v/>
      </c>
      <c r="AO26" s="609" t="str">
        <f t="shared" si="4"/>
        <v/>
      </c>
      <c r="AP26" s="609" t="str">
        <f t="shared" si="4"/>
        <v/>
      </c>
      <c r="AQ26" s="609" t="str">
        <f t="shared" si="4"/>
        <v/>
      </c>
      <c r="AR26" s="609" t="str">
        <f t="shared" si="4"/>
        <v/>
      </c>
      <c r="AS26" s="609" t="str">
        <f t="shared" si="4"/>
        <v/>
      </c>
      <c r="AT26" s="609" t="str">
        <f t="shared" si="4"/>
        <v/>
      </c>
      <c r="AU26" s="609" t="str">
        <f t="shared" si="4"/>
        <v/>
      </c>
      <c r="AV26" s="609" t="str">
        <f t="shared" si="4"/>
        <v/>
      </c>
      <c r="AW26" s="609" t="str">
        <f t="shared" si="4"/>
        <v/>
      </c>
      <c r="AX26" s="609" t="str">
        <f t="shared" si="4"/>
        <v/>
      </c>
      <c r="AY26" s="609" t="str">
        <f t="shared" si="4"/>
        <v/>
      </c>
      <c r="AZ26" s="609" t="str">
        <f t="shared" si="4"/>
        <v/>
      </c>
      <c r="BA26" s="609" t="str">
        <f t="shared" si="4"/>
        <v/>
      </c>
      <c r="BB26" s="609" t="str">
        <f t="shared" si="4"/>
        <v/>
      </c>
      <c r="BC26" s="609" t="str">
        <f t="shared" si="4"/>
        <v/>
      </c>
      <c r="BD26" s="609" t="str">
        <f t="shared" si="4"/>
        <v/>
      </c>
      <c r="BE26" s="609" t="str">
        <f t="shared" si="4"/>
        <v/>
      </c>
      <c r="BF26" s="609" t="str">
        <f t="shared" si="4"/>
        <v/>
      </c>
      <c r="BG26" s="609" t="str">
        <f t="shared" si="4"/>
        <v/>
      </c>
    </row>
    <row r="27" spans="2:59" x14ac:dyDescent="0.25">
      <c r="B27" s="654">
        <v>21</v>
      </c>
      <c r="C27" s="654"/>
      <c r="D27" s="654"/>
      <c r="E27" s="655"/>
      <c r="F27" s="654"/>
      <c r="H27" s="609" t="str">
        <f t="shared" si="1"/>
        <v/>
      </c>
      <c r="I27" s="609" t="str">
        <f t="shared" si="4"/>
        <v/>
      </c>
      <c r="J27" s="609" t="str">
        <f t="shared" si="4"/>
        <v/>
      </c>
      <c r="K27" s="609" t="str">
        <f t="shared" si="4"/>
        <v/>
      </c>
      <c r="L27" s="609" t="str">
        <f t="shared" si="4"/>
        <v/>
      </c>
      <c r="M27" s="609" t="str">
        <f t="shared" si="4"/>
        <v/>
      </c>
      <c r="N27" s="609" t="str">
        <f t="shared" si="4"/>
        <v/>
      </c>
      <c r="O27" s="609" t="str">
        <f t="shared" si="4"/>
        <v/>
      </c>
      <c r="P27" s="609" t="str">
        <f t="shared" si="4"/>
        <v/>
      </c>
      <c r="Q27" s="609" t="str">
        <f t="shared" si="4"/>
        <v/>
      </c>
      <c r="R27" s="609" t="str">
        <f t="shared" si="4"/>
        <v/>
      </c>
      <c r="S27" s="609" t="str">
        <f t="shared" si="4"/>
        <v/>
      </c>
      <c r="T27" s="609" t="str">
        <f t="shared" si="4"/>
        <v/>
      </c>
      <c r="U27" s="609" t="str">
        <f t="shared" si="4"/>
        <v/>
      </c>
      <c r="V27" s="609" t="str">
        <f t="shared" si="4"/>
        <v/>
      </c>
      <c r="W27" s="609" t="str">
        <f t="shared" si="4"/>
        <v/>
      </c>
      <c r="X27" s="609" t="str">
        <f t="shared" ref="I27:BG32" si="5">IF($D27=X$6,$B27&amp;", ","")</f>
        <v/>
      </c>
      <c r="Y27" s="609" t="str">
        <f t="shared" si="5"/>
        <v/>
      </c>
      <c r="Z27" s="609" t="str">
        <f t="shared" si="5"/>
        <v/>
      </c>
      <c r="AA27" s="609" t="str">
        <f t="shared" si="5"/>
        <v/>
      </c>
      <c r="AB27" s="609" t="str">
        <f t="shared" si="5"/>
        <v/>
      </c>
      <c r="AC27" s="609" t="str">
        <f t="shared" si="5"/>
        <v/>
      </c>
      <c r="AD27" s="609" t="str">
        <f t="shared" si="5"/>
        <v/>
      </c>
      <c r="AE27" s="609" t="str">
        <f t="shared" si="5"/>
        <v/>
      </c>
      <c r="AF27" s="609" t="str">
        <f t="shared" si="5"/>
        <v/>
      </c>
      <c r="AG27" s="609" t="str">
        <f t="shared" si="5"/>
        <v/>
      </c>
      <c r="AH27" s="609" t="str">
        <f t="shared" si="5"/>
        <v/>
      </c>
      <c r="AI27" s="609" t="str">
        <f t="shared" si="5"/>
        <v/>
      </c>
      <c r="AJ27" s="609" t="str">
        <f t="shared" si="5"/>
        <v/>
      </c>
      <c r="AK27" s="609" t="str">
        <f t="shared" si="5"/>
        <v/>
      </c>
      <c r="AL27" s="609" t="str">
        <f t="shared" si="5"/>
        <v/>
      </c>
      <c r="AM27" s="609" t="str">
        <f t="shared" si="5"/>
        <v/>
      </c>
      <c r="AN27" s="609" t="str">
        <f t="shared" si="5"/>
        <v/>
      </c>
      <c r="AO27" s="609" t="str">
        <f t="shared" si="5"/>
        <v/>
      </c>
      <c r="AP27" s="609" t="str">
        <f t="shared" si="5"/>
        <v/>
      </c>
      <c r="AQ27" s="609" t="str">
        <f t="shared" si="5"/>
        <v/>
      </c>
      <c r="AR27" s="609" t="str">
        <f t="shared" si="5"/>
        <v/>
      </c>
      <c r="AS27" s="609" t="str">
        <f t="shared" si="5"/>
        <v/>
      </c>
      <c r="AT27" s="609" t="str">
        <f t="shared" si="5"/>
        <v/>
      </c>
      <c r="AU27" s="609" t="str">
        <f t="shared" si="5"/>
        <v/>
      </c>
      <c r="AV27" s="609" t="str">
        <f t="shared" si="5"/>
        <v/>
      </c>
      <c r="AW27" s="609" t="str">
        <f t="shared" si="5"/>
        <v/>
      </c>
      <c r="AX27" s="609" t="str">
        <f t="shared" si="5"/>
        <v/>
      </c>
      <c r="AY27" s="609" t="str">
        <f t="shared" si="5"/>
        <v/>
      </c>
      <c r="AZ27" s="609" t="str">
        <f t="shared" si="5"/>
        <v/>
      </c>
      <c r="BA27" s="609" t="str">
        <f t="shared" si="5"/>
        <v/>
      </c>
      <c r="BB27" s="609" t="str">
        <f t="shared" si="5"/>
        <v/>
      </c>
      <c r="BC27" s="609" t="str">
        <f t="shared" si="5"/>
        <v/>
      </c>
      <c r="BD27" s="609" t="str">
        <f t="shared" si="5"/>
        <v/>
      </c>
      <c r="BE27" s="609" t="str">
        <f t="shared" si="5"/>
        <v/>
      </c>
      <c r="BF27" s="609" t="str">
        <f t="shared" si="5"/>
        <v/>
      </c>
      <c r="BG27" s="609" t="str">
        <f t="shared" si="5"/>
        <v/>
      </c>
    </row>
    <row r="28" spans="2:59" x14ac:dyDescent="0.25">
      <c r="B28" s="654">
        <v>22</v>
      </c>
      <c r="C28" s="654"/>
      <c r="D28" s="654"/>
      <c r="E28" s="655"/>
      <c r="F28" s="654"/>
      <c r="H28" s="609" t="str">
        <f t="shared" si="1"/>
        <v/>
      </c>
      <c r="I28" s="609" t="str">
        <f t="shared" si="5"/>
        <v/>
      </c>
      <c r="J28" s="609" t="str">
        <f t="shared" si="5"/>
        <v/>
      </c>
      <c r="K28" s="609" t="str">
        <f t="shared" si="5"/>
        <v/>
      </c>
      <c r="L28" s="609" t="str">
        <f t="shared" si="5"/>
        <v/>
      </c>
      <c r="M28" s="609" t="str">
        <f t="shared" si="5"/>
        <v/>
      </c>
      <c r="N28" s="609" t="str">
        <f t="shared" si="5"/>
        <v/>
      </c>
      <c r="O28" s="609" t="str">
        <f t="shared" si="5"/>
        <v/>
      </c>
      <c r="P28" s="609" t="str">
        <f t="shared" si="5"/>
        <v/>
      </c>
      <c r="Q28" s="609" t="str">
        <f t="shared" si="5"/>
        <v/>
      </c>
      <c r="R28" s="609" t="str">
        <f t="shared" si="5"/>
        <v/>
      </c>
      <c r="S28" s="609" t="str">
        <f t="shared" si="5"/>
        <v/>
      </c>
      <c r="T28" s="609" t="str">
        <f t="shared" si="5"/>
        <v/>
      </c>
      <c r="U28" s="609" t="str">
        <f t="shared" si="5"/>
        <v/>
      </c>
      <c r="V28" s="609" t="str">
        <f t="shared" si="5"/>
        <v/>
      </c>
      <c r="W28" s="609" t="str">
        <f t="shared" si="5"/>
        <v/>
      </c>
      <c r="X28" s="609" t="str">
        <f t="shared" si="5"/>
        <v/>
      </c>
      <c r="Y28" s="609" t="str">
        <f t="shared" si="5"/>
        <v/>
      </c>
      <c r="Z28" s="609" t="str">
        <f t="shared" si="5"/>
        <v/>
      </c>
      <c r="AA28" s="609" t="str">
        <f t="shared" si="5"/>
        <v/>
      </c>
      <c r="AB28" s="609" t="str">
        <f t="shared" si="5"/>
        <v/>
      </c>
      <c r="AC28" s="609" t="str">
        <f t="shared" si="5"/>
        <v/>
      </c>
      <c r="AD28" s="609" t="str">
        <f t="shared" si="5"/>
        <v/>
      </c>
      <c r="AE28" s="609" t="str">
        <f t="shared" si="5"/>
        <v/>
      </c>
      <c r="AF28" s="609" t="str">
        <f t="shared" si="5"/>
        <v/>
      </c>
      <c r="AG28" s="609" t="str">
        <f t="shared" si="5"/>
        <v/>
      </c>
      <c r="AH28" s="609" t="str">
        <f t="shared" si="5"/>
        <v/>
      </c>
      <c r="AI28" s="609" t="str">
        <f t="shared" si="5"/>
        <v/>
      </c>
      <c r="AJ28" s="609" t="str">
        <f t="shared" si="5"/>
        <v/>
      </c>
      <c r="AK28" s="609" t="str">
        <f t="shared" si="5"/>
        <v/>
      </c>
      <c r="AL28" s="609" t="str">
        <f t="shared" si="5"/>
        <v/>
      </c>
      <c r="AM28" s="609" t="str">
        <f t="shared" si="5"/>
        <v/>
      </c>
      <c r="AN28" s="609" t="str">
        <f t="shared" si="5"/>
        <v/>
      </c>
      <c r="AO28" s="609" t="str">
        <f t="shared" si="5"/>
        <v/>
      </c>
      <c r="AP28" s="609" t="str">
        <f t="shared" si="5"/>
        <v/>
      </c>
      <c r="AQ28" s="609" t="str">
        <f t="shared" si="5"/>
        <v/>
      </c>
      <c r="AR28" s="609" t="str">
        <f t="shared" si="5"/>
        <v/>
      </c>
      <c r="AS28" s="609" t="str">
        <f t="shared" si="5"/>
        <v/>
      </c>
      <c r="AT28" s="609" t="str">
        <f t="shared" si="5"/>
        <v/>
      </c>
      <c r="AU28" s="609" t="str">
        <f t="shared" si="5"/>
        <v/>
      </c>
      <c r="AV28" s="609" t="str">
        <f t="shared" si="5"/>
        <v/>
      </c>
      <c r="AW28" s="609" t="str">
        <f t="shared" si="5"/>
        <v/>
      </c>
      <c r="AX28" s="609" t="str">
        <f t="shared" si="5"/>
        <v/>
      </c>
      <c r="AY28" s="609" t="str">
        <f t="shared" si="5"/>
        <v/>
      </c>
      <c r="AZ28" s="609" t="str">
        <f t="shared" si="5"/>
        <v/>
      </c>
      <c r="BA28" s="609" t="str">
        <f t="shared" si="5"/>
        <v/>
      </c>
      <c r="BB28" s="609" t="str">
        <f t="shared" si="5"/>
        <v/>
      </c>
      <c r="BC28" s="609" t="str">
        <f t="shared" si="5"/>
        <v/>
      </c>
      <c r="BD28" s="609" t="str">
        <f t="shared" si="5"/>
        <v/>
      </c>
      <c r="BE28" s="609" t="str">
        <f t="shared" si="5"/>
        <v/>
      </c>
      <c r="BF28" s="609" t="str">
        <f t="shared" si="5"/>
        <v/>
      </c>
      <c r="BG28" s="609" t="str">
        <f t="shared" si="5"/>
        <v/>
      </c>
    </row>
    <row r="29" spans="2:59" x14ac:dyDescent="0.25">
      <c r="B29" s="654">
        <v>23</v>
      </c>
      <c r="C29" s="654"/>
      <c r="D29" s="654"/>
      <c r="E29" s="655"/>
      <c r="F29" s="654"/>
      <c r="H29" s="609" t="str">
        <f t="shared" si="1"/>
        <v/>
      </c>
      <c r="I29" s="609" t="str">
        <f t="shared" si="5"/>
        <v/>
      </c>
      <c r="J29" s="609" t="str">
        <f t="shared" si="5"/>
        <v/>
      </c>
      <c r="K29" s="609" t="str">
        <f t="shared" si="5"/>
        <v/>
      </c>
      <c r="L29" s="609" t="str">
        <f t="shared" si="5"/>
        <v/>
      </c>
      <c r="M29" s="609" t="str">
        <f t="shared" si="5"/>
        <v/>
      </c>
      <c r="N29" s="609" t="str">
        <f t="shared" si="5"/>
        <v/>
      </c>
      <c r="O29" s="609" t="str">
        <f t="shared" si="5"/>
        <v/>
      </c>
      <c r="P29" s="609" t="str">
        <f t="shared" si="5"/>
        <v/>
      </c>
      <c r="Q29" s="609" t="str">
        <f t="shared" si="5"/>
        <v/>
      </c>
      <c r="R29" s="609" t="str">
        <f t="shared" si="5"/>
        <v/>
      </c>
      <c r="S29" s="609" t="str">
        <f t="shared" si="5"/>
        <v/>
      </c>
      <c r="T29" s="609" t="str">
        <f t="shared" si="5"/>
        <v/>
      </c>
      <c r="U29" s="609" t="str">
        <f t="shared" si="5"/>
        <v/>
      </c>
      <c r="V29" s="609" t="str">
        <f t="shared" si="5"/>
        <v/>
      </c>
      <c r="W29" s="609" t="str">
        <f t="shared" si="5"/>
        <v/>
      </c>
      <c r="X29" s="609" t="str">
        <f t="shared" si="5"/>
        <v/>
      </c>
      <c r="Y29" s="609" t="str">
        <f t="shared" si="5"/>
        <v/>
      </c>
      <c r="Z29" s="609" t="str">
        <f t="shared" si="5"/>
        <v/>
      </c>
      <c r="AA29" s="609" t="str">
        <f t="shared" si="5"/>
        <v/>
      </c>
      <c r="AB29" s="609" t="str">
        <f t="shared" si="5"/>
        <v/>
      </c>
      <c r="AC29" s="609" t="str">
        <f t="shared" si="5"/>
        <v/>
      </c>
      <c r="AD29" s="609" t="str">
        <f t="shared" si="5"/>
        <v/>
      </c>
      <c r="AE29" s="609" t="str">
        <f t="shared" si="5"/>
        <v/>
      </c>
      <c r="AF29" s="609" t="str">
        <f t="shared" si="5"/>
        <v/>
      </c>
      <c r="AG29" s="609" t="str">
        <f t="shared" si="5"/>
        <v/>
      </c>
      <c r="AH29" s="609" t="str">
        <f t="shared" si="5"/>
        <v/>
      </c>
      <c r="AI29" s="609" t="str">
        <f t="shared" si="5"/>
        <v/>
      </c>
      <c r="AJ29" s="609" t="str">
        <f t="shared" si="5"/>
        <v/>
      </c>
      <c r="AK29" s="609" t="str">
        <f t="shared" si="5"/>
        <v/>
      </c>
      <c r="AL29" s="609" t="str">
        <f t="shared" si="5"/>
        <v/>
      </c>
      <c r="AM29" s="609" t="str">
        <f t="shared" si="5"/>
        <v/>
      </c>
      <c r="AN29" s="609" t="str">
        <f t="shared" si="5"/>
        <v/>
      </c>
      <c r="AO29" s="609" t="str">
        <f t="shared" si="5"/>
        <v/>
      </c>
      <c r="AP29" s="609" t="str">
        <f t="shared" si="5"/>
        <v/>
      </c>
      <c r="AQ29" s="609" t="str">
        <f t="shared" si="5"/>
        <v/>
      </c>
      <c r="AR29" s="609" t="str">
        <f t="shared" si="5"/>
        <v/>
      </c>
      <c r="AS29" s="609" t="str">
        <f t="shared" si="5"/>
        <v/>
      </c>
      <c r="AT29" s="609" t="str">
        <f t="shared" si="5"/>
        <v/>
      </c>
      <c r="AU29" s="609" t="str">
        <f t="shared" si="5"/>
        <v/>
      </c>
      <c r="AV29" s="609" t="str">
        <f t="shared" si="5"/>
        <v/>
      </c>
      <c r="AW29" s="609" t="str">
        <f t="shared" si="5"/>
        <v/>
      </c>
      <c r="AX29" s="609" t="str">
        <f t="shared" si="5"/>
        <v/>
      </c>
      <c r="AY29" s="609" t="str">
        <f t="shared" si="5"/>
        <v/>
      </c>
      <c r="AZ29" s="609" t="str">
        <f t="shared" si="5"/>
        <v/>
      </c>
      <c r="BA29" s="609" t="str">
        <f t="shared" si="5"/>
        <v/>
      </c>
      <c r="BB29" s="609" t="str">
        <f t="shared" si="5"/>
        <v/>
      </c>
      <c r="BC29" s="609" t="str">
        <f t="shared" si="5"/>
        <v/>
      </c>
      <c r="BD29" s="609" t="str">
        <f t="shared" si="5"/>
        <v/>
      </c>
      <c r="BE29" s="609" t="str">
        <f t="shared" si="5"/>
        <v/>
      </c>
      <c r="BF29" s="609" t="str">
        <f t="shared" si="5"/>
        <v/>
      </c>
      <c r="BG29" s="609" t="str">
        <f t="shared" si="5"/>
        <v/>
      </c>
    </row>
    <row r="30" spans="2:59" x14ac:dyDescent="0.25">
      <c r="B30" s="654">
        <v>24</v>
      </c>
      <c r="C30" s="654"/>
      <c r="D30" s="654"/>
      <c r="E30" s="655"/>
      <c r="F30" s="654"/>
      <c r="H30" s="609" t="str">
        <f t="shared" si="1"/>
        <v/>
      </c>
      <c r="I30" s="609" t="str">
        <f t="shared" si="5"/>
        <v/>
      </c>
      <c r="J30" s="609" t="str">
        <f t="shared" si="5"/>
        <v/>
      </c>
      <c r="K30" s="609" t="str">
        <f t="shared" si="5"/>
        <v/>
      </c>
      <c r="L30" s="609" t="str">
        <f t="shared" si="5"/>
        <v/>
      </c>
      <c r="M30" s="609" t="str">
        <f t="shared" si="5"/>
        <v/>
      </c>
      <c r="N30" s="609" t="str">
        <f t="shared" si="5"/>
        <v/>
      </c>
      <c r="O30" s="609" t="str">
        <f t="shared" si="5"/>
        <v/>
      </c>
      <c r="P30" s="609" t="str">
        <f t="shared" si="5"/>
        <v/>
      </c>
      <c r="Q30" s="609" t="str">
        <f t="shared" si="5"/>
        <v/>
      </c>
      <c r="R30" s="609" t="str">
        <f t="shared" si="5"/>
        <v/>
      </c>
      <c r="S30" s="609" t="str">
        <f t="shared" si="5"/>
        <v/>
      </c>
      <c r="T30" s="609" t="str">
        <f t="shared" si="5"/>
        <v/>
      </c>
      <c r="U30" s="609" t="str">
        <f t="shared" si="5"/>
        <v/>
      </c>
      <c r="V30" s="609" t="str">
        <f t="shared" si="5"/>
        <v/>
      </c>
      <c r="W30" s="609" t="str">
        <f t="shared" si="5"/>
        <v/>
      </c>
      <c r="X30" s="609" t="str">
        <f t="shared" si="5"/>
        <v/>
      </c>
      <c r="Y30" s="609" t="str">
        <f t="shared" si="5"/>
        <v/>
      </c>
      <c r="Z30" s="609" t="str">
        <f t="shared" si="5"/>
        <v/>
      </c>
      <c r="AA30" s="609" t="str">
        <f t="shared" si="5"/>
        <v/>
      </c>
      <c r="AB30" s="609" t="str">
        <f t="shared" si="5"/>
        <v/>
      </c>
      <c r="AC30" s="609" t="str">
        <f t="shared" si="5"/>
        <v/>
      </c>
      <c r="AD30" s="609" t="str">
        <f t="shared" si="5"/>
        <v/>
      </c>
      <c r="AE30" s="609" t="str">
        <f t="shared" si="5"/>
        <v/>
      </c>
      <c r="AF30" s="609" t="str">
        <f t="shared" si="5"/>
        <v/>
      </c>
      <c r="AG30" s="609" t="str">
        <f t="shared" si="5"/>
        <v/>
      </c>
      <c r="AH30" s="609" t="str">
        <f t="shared" si="5"/>
        <v/>
      </c>
      <c r="AI30" s="609" t="str">
        <f t="shared" si="5"/>
        <v/>
      </c>
      <c r="AJ30" s="609" t="str">
        <f t="shared" si="5"/>
        <v/>
      </c>
      <c r="AK30" s="609" t="str">
        <f t="shared" si="5"/>
        <v/>
      </c>
      <c r="AL30" s="609" t="str">
        <f t="shared" si="5"/>
        <v/>
      </c>
      <c r="AM30" s="609" t="str">
        <f t="shared" si="5"/>
        <v/>
      </c>
      <c r="AN30" s="609" t="str">
        <f t="shared" si="5"/>
        <v/>
      </c>
      <c r="AO30" s="609" t="str">
        <f t="shared" si="5"/>
        <v/>
      </c>
      <c r="AP30" s="609" t="str">
        <f t="shared" si="5"/>
        <v/>
      </c>
      <c r="AQ30" s="609" t="str">
        <f t="shared" si="5"/>
        <v/>
      </c>
      <c r="AR30" s="609" t="str">
        <f t="shared" si="5"/>
        <v/>
      </c>
      <c r="AS30" s="609" t="str">
        <f t="shared" si="5"/>
        <v/>
      </c>
      <c r="AT30" s="609" t="str">
        <f t="shared" si="5"/>
        <v/>
      </c>
      <c r="AU30" s="609" t="str">
        <f t="shared" si="5"/>
        <v/>
      </c>
      <c r="AV30" s="609" t="str">
        <f t="shared" si="5"/>
        <v/>
      </c>
      <c r="AW30" s="609" t="str">
        <f t="shared" si="5"/>
        <v/>
      </c>
      <c r="AX30" s="609" t="str">
        <f t="shared" si="5"/>
        <v/>
      </c>
      <c r="AY30" s="609" t="str">
        <f t="shared" si="5"/>
        <v/>
      </c>
      <c r="AZ30" s="609" t="str">
        <f t="shared" si="5"/>
        <v/>
      </c>
      <c r="BA30" s="609" t="str">
        <f t="shared" si="5"/>
        <v/>
      </c>
      <c r="BB30" s="609" t="str">
        <f t="shared" si="5"/>
        <v/>
      </c>
      <c r="BC30" s="609" t="str">
        <f t="shared" si="5"/>
        <v/>
      </c>
      <c r="BD30" s="609" t="str">
        <f t="shared" si="5"/>
        <v/>
      </c>
      <c r="BE30" s="609" t="str">
        <f t="shared" si="5"/>
        <v/>
      </c>
      <c r="BF30" s="609" t="str">
        <f t="shared" si="5"/>
        <v/>
      </c>
      <c r="BG30" s="609" t="str">
        <f t="shared" si="5"/>
        <v/>
      </c>
    </row>
    <row r="31" spans="2:59" x14ac:dyDescent="0.25">
      <c r="B31" s="654">
        <v>25</v>
      </c>
      <c r="C31" s="654"/>
      <c r="D31" s="654"/>
      <c r="E31" s="655"/>
      <c r="F31" s="654"/>
      <c r="H31" s="609" t="str">
        <f t="shared" si="1"/>
        <v/>
      </c>
      <c r="I31" s="609" t="str">
        <f t="shared" si="5"/>
        <v/>
      </c>
      <c r="J31" s="609" t="str">
        <f t="shared" si="5"/>
        <v/>
      </c>
      <c r="K31" s="609" t="str">
        <f t="shared" si="5"/>
        <v/>
      </c>
      <c r="L31" s="609" t="str">
        <f t="shared" si="5"/>
        <v/>
      </c>
      <c r="M31" s="609" t="str">
        <f t="shared" si="5"/>
        <v/>
      </c>
      <c r="N31" s="609" t="str">
        <f t="shared" si="5"/>
        <v/>
      </c>
      <c r="O31" s="609" t="str">
        <f t="shared" si="5"/>
        <v/>
      </c>
      <c r="P31" s="609" t="str">
        <f t="shared" si="5"/>
        <v/>
      </c>
      <c r="Q31" s="609" t="str">
        <f t="shared" si="5"/>
        <v/>
      </c>
      <c r="R31" s="609" t="str">
        <f t="shared" si="5"/>
        <v/>
      </c>
      <c r="S31" s="609" t="str">
        <f t="shared" si="5"/>
        <v/>
      </c>
      <c r="T31" s="609" t="str">
        <f t="shared" si="5"/>
        <v/>
      </c>
      <c r="U31" s="609" t="str">
        <f t="shared" si="5"/>
        <v/>
      </c>
      <c r="V31" s="609" t="str">
        <f t="shared" si="5"/>
        <v/>
      </c>
      <c r="W31" s="609" t="str">
        <f t="shared" si="5"/>
        <v/>
      </c>
      <c r="X31" s="609" t="str">
        <f t="shared" si="5"/>
        <v/>
      </c>
      <c r="Y31" s="609" t="str">
        <f t="shared" si="5"/>
        <v/>
      </c>
      <c r="Z31" s="609" t="str">
        <f t="shared" si="5"/>
        <v/>
      </c>
      <c r="AA31" s="609" t="str">
        <f t="shared" si="5"/>
        <v/>
      </c>
      <c r="AB31" s="609" t="str">
        <f t="shared" si="5"/>
        <v/>
      </c>
      <c r="AC31" s="609" t="str">
        <f t="shared" si="5"/>
        <v/>
      </c>
      <c r="AD31" s="609" t="str">
        <f t="shared" si="5"/>
        <v/>
      </c>
      <c r="AE31" s="609" t="str">
        <f t="shared" si="5"/>
        <v/>
      </c>
      <c r="AF31" s="609" t="str">
        <f t="shared" si="5"/>
        <v/>
      </c>
      <c r="AG31" s="609" t="str">
        <f t="shared" si="5"/>
        <v/>
      </c>
      <c r="AH31" s="609" t="str">
        <f t="shared" si="5"/>
        <v/>
      </c>
      <c r="AI31" s="609" t="str">
        <f t="shared" si="5"/>
        <v/>
      </c>
      <c r="AJ31" s="609" t="str">
        <f t="shared" si="5"/>
        <v/>
      </c>
      <c r="AK31" s="609" t="str">
        <f t="shared" si="5"/>
        <v/>
      </c>
      <c r="AL31" s="609" t="str">
        <f t="shared" si="5"/>
        <v/>
      </c>
      <c r="AM31" s="609" t="str">
        <f t="shared" si="5"/>
        <v/>
      </c>
      <c r="AN31" s="609" t="str">
        <f t="shared" si="5"/>
        <v/>
      </c>
      <c r="AO31" s="609" t="str">
        <f t="shared" si="5"/>
        <v/>
      </c>
      <c r="AP31" s="609" t="str">
        <f t="shared" si="5"/>
        <v/>
      </c>
      <c r="AQ31" s="609" t="str">
        <f t="shared" si="5"/>
        <v/>
      </c>
      <c r="AR31" s="609" t="str">
        <f t="shared" si="5"/>
        <v/>
      </c>
      <c r="AS31" s="609" t="str">
        <f t="shared" si="5"/>
        <v/>
      </c>
      <c r="AT31" s="609" t="str">
        <f t="shared" si="5"/>
        <v/>
      </c>
      <c r="AU31" s="609" t="str">
        <f t="shared" si="5"/>
        <v/>
      </c>
      <c r="AV31" s="609" t="str">
        <f t="shared" si="5"/>
        <v/>
      </c>
      <c r="AW31" s="609" t="str">
        <f t="shared" si="5"/>
        <v/>
      </c>
      <c r="AX31" s="609" t="str">
        <f t="shared" si="5"/>
        <v/>
      </c>
      <c r="AY31" s="609" t="str">
        <f t="shared" si="5"/>
        <v/>
      </c>
      <c r="AZ31" s="609" t="str">
        <f t="shared" si="5"/>
        <v/>
      </c>
      <c r="BA31" s="609" t="str">
        <f t="shared" si="5"/>
        <v/>
      </c>
      <c r="BB31" s="609" t="str">
        <f t="shared" si="5"/>
        <v/>
      </c>
      <c r="BC31" s="609" t="str">
        <f t="shared" si="5"/>
        <v/>
      </c>
      <c r="BD31" s="609" t="str">
        <f t="shared" si="5"/>
        <v/>
      </c>
      <c r="BE31" s="609" t="str">
        <f t="shared" si="5"/>
        <v/>
      </c>
      <c r="BF31" s="609" t="str">
        <f t="shared" si="5"/>
        <v/>
      </c>
      <c r="BG31" s="609" t="str">
        <f t="shared" si="5"/>
        <v/>
      </c>
    </row>
    <row r="32" spans="2:59" x14ac:dyDescent="0.25">
      <c r="B32" s="654">
        <v>26</v>
      </c>
      <c r="C32" s="654"/>
      <c r="D32" s="654"/>
      <c r="E32" s="655"/>
      <c r="F32" s="654"/>
      <c r="H32" s="609" t="str">
        <f t="shared" si="1"/>
        <v/>
      </c>
      <c r="I32" s="609" t="str">
        <f t="shared" si="5"/>
        <v/>
      </c>
      <c r="J32" s="609" t="str">
        <f t="shared" si="5"/>
        <v/>
      </c>
      <c r="K32" s="609" t="str">
        <f t="shared" si="5"/>
        <v/>
      </c>
      <c r="L32" s="609" t="str">
        <f t="shared" si="5"/>
        <v/>
      </c>
      <c r="M32" s="609" t="str">
        <f t="shared" si="5"/>
        <v/>
      </c>
      <c r="N32" s="609" t="str">
        <f t="shared" si="5"/>
        <v/>
      </c>
      <c r="O32" s="609" t="str">
        <f t="shared" si="5"/>
        <v/>
      </c>
      <c r="P32" s="609" t="str">
        <f t="shared" si="5"/>
        <v/>
      </c>
      <c r="Q32" s="609" t="str">
        <f t="shared" si="5"/>
        <v/>
      </c>
      <c r="R32" s="609" t="str">
        <f t="shared" si="5"/>
        <v/>
      </c>
      <c r="S32" s="609" t="str">
        <f t="shared" si="5"/>
        <v/>
      </c>
      <c r="T32" s="609" t="str">
        <f t="shared" si="5"/>
        <v/>
      </c>
      <c r="U32" s="609" t="str">
        <f t="shared" si="5"/>
        <v/>
      </c>
      <c r="V32" s="609" t="str">
        <f t="shared" si="5"/>
        <v/>
      </c>
      <c r="W32" s="609" t="str">
        <f t="shared" si="5"/>
        <v/>
      </c>
      <c r="X32" s="609" t="str">
        <f t="shared" ref="I32:BG37" si="6">IF($D32=X$6,$B32&amp;", ","")</f>
        <v/>
      </c>
      <c r="Y32" s="609" t="str">
        <f t="shared" si="6"/>
        <v/>
      </c>
      <c r="Z32" s="609" t="str">
        <f t="shared" si="6"/>
        <v/>
      </c>
      <c r="AA32" s="609" t="str">
        <f t="shared" si="6"/>
        <v/>
      </c>
      <c r="AB32" s="609" t="str">
        <f t="shared" si="6"/>
        <v/>
      </c>
      <c r="AC32" s="609" t="str">
        <f t="shared" si="6"/>
        <v/>
      </c>
      <c r="AD32" s="609" t="str">
        <f t="shared" si="6"/>
        <v/>
      </c>
      <c r="AE32" s="609" t="str">
        <f t="shared" si="6"/>
        <v/>
      </c>
      <c r="AF32" s="609" t="str">
        <f t="shared" si="6"/>
        <v/>
      </c>
      <c r="AG32" s="609" t="str">
        <f t="shared" si="6"/>
        <v/>
      </c>
      <c r="AH32" s="609" t="str">
        <f t="shared" si="6"/>
        <v/>
      </c>
      <c r="AI32" s="609" t="str">
        <f t="shared" si="6"/>
        <v/>
      </c>
      <c r="AJ32" s="609" t="str">
        <f t="shared" si="6"/>
        <v/>
      </c>
      <c r="AK32" s="609" t="str">
        <f t="shared" si="6"/>
        <v/>
      </c>
      <c r="AL32" s="609" t="str">
        <f t="shared" si="6"/>
        <v/>
      </c>
      <c r="AM32" s="609" t="str">
        <f t="shared" si="6"/>
        <v/>
      </c>
      <c r="AN32" s="609" t="str">
        <f t="shared" si="6"/>
        <v/>
      </c>
      <c r="AO32" s="609" t="str">
        <f t="shared" si="6"/>
        <v/>
      </c>
      <c r="AP32" s="609" t="str">
        <f t="shared" si="6"/>
        <v/>
      </c>
      <c r="AQ32" s="609" t="str">
        <f t="shared" si="6"/>
        <v/>
      </c>
      <c r="AR32" s="609" t="str">
        <f t="shared" si="6"/>
        <v/>
      </c>
      <c r="AS32" s="609" t="str">
        <f t="shared" si="6"/>
        <v/>
      </c>
      <c r="AT32" s="609" t="str">
        <f t="shared" si="6"/>
        <v/>
      </c>
      <c r="AU32" s="609" t="str">
        <f t="shared" si="6"/>
        <v/>
      </c>
      <c r="AV32" s="609" t="str">
        <f t="shared" si="6"/>
        <v/>
      </c>
      <c r="AW32" s="609" t="str">
        <f t="shared" si="6"/>
        <v/>
      </c>
      <c r="AX32" s="609" t="str">
        <f t="shared" si="6"/>
        <v/>
      </c>
      <c r="AY32" s="609" t="str">
        <f t="shared" si="6"/>
        <v/>
      </c>
      <c r="AZ32" s="609" t="str">
        <f t="shared" si="6"/>
        <v/>
      </c>
      <c r="BA32" s="609" t="str">
        <f t="shared" si="6"/>
        <v/>
      </c>
      <c r="BB32" s="609" t="str">
        <f t="shared" si="6"/>
        <v/>
      </c>
      <c r="BC32" s="609" t="str">
        <f t="shared" si="6"/>
        <v/>
      </c>
      <c r="BD32" s="609" t="str">
        <f t="shared" si="6"/>
        <v/>
      </c>
      <c r="BE32" s="609" t="str">
        <f t="shared" si="6"/>
        <v/>
      </c>
      <c r="BF32" s="609" t="str">
        <f t="shared" si="6"/>
        <v/>
      </c>
      <c r="BG32" s="609" t="str">
        <f t="shared" si="6"/>
        <v/>
      </c>
    </row>
    <row r="33" spans="2:59" x14ac:dyDescent="0.25">
      <c r="B33" s="654">
        <v>27</v>
      </c>
      <c r="C33" s="654"/>
      <c r="D33" s="654"/>
      <c r="E33" s="655"/>
      <c r="F33" s="654"/>
      <c r="H33" s="609" t="str">
        <f t="shared" si="1"/>
        <v/>
      </c>
      <c r="I33" s="609" t="str">
        <f t="shared" si="6"/>
        <v/>
      </c>
      <c r="J33" s="609" t="str">
        <f t="shared" si="6"/>
        <v/>
      </c>
      <c r="K33" s="609" t="str">
        <f t="shared" si="6"/>
        <v/>
      </c>
      <c r="L33" s="609" t="str">
        <f t="shared" si="6"/>
        <v/>
      </c>
      <c r="M33" s="609" t="str">
        <f t="shared" si="6"/>
        <v/>
      </c>
      <c r="N33" s="609" t="str">
        <f t="shared" si="6"/>
        <v/>
      </c>
      <c r="O33" s="609" t="str">
        <f t="shared" si="6"/>
        <v/>
      </c>
      <c r="P33" s="609" t="str">
        <f t="shared" si="6"/>
        <v/>
      </c>
      <c r="Q33" s="609" t="str">
        <f t="shared" si="6"/>
        <v/>
      </c>
      <c r="R33" s="609" t="str">
        <f t="shared" si="6"/>
        <v/>
      </c>
      <c r="S33" s="609" t="str">
        <f t="shared" si="6"/>
        <v/>
      </c>
      <c r="T33" s="609" t="str">
        <f t="shared" si="6"/>
        <v/>
      </c>
      <c r="U33" s="609" t="str">
        <f t="shared" si="6"/>
        <v/>
      </c>
      <c r="V33" s="609" t="str">
        <f t="shared" si="6"/>
        <v/>
      </c>
      <c r="W33" s="609" t="str">
        <f t="shared" si="6"/>
        <v/>
      </c>
      <c r="X33" s="609" t="str">
        <f t="shared" si="6"/>
        <v/>
      </c>
      <c r="Y33" s="609" t="str">
        <f t="shared" si="6"/>
        <v/>
      </c>
      <c r="Z33" s="609" t="str">
        <f t="shared" si="6"/>
        <v/>
      </c>
      <c r="AA33" s="609" t="str">
        <f t="shared" si="6"/>
        <v/>
      </c>
      <c r="AB33" s="609" t="str">
        <f t="shared" si="6"/>
        <v/>
      </c>
      <c r="AC33" s="609" t="str">
        <f t="shared" si="6"/>
        <v/>
      </c>
      <c r="AD33" s="609" t="str">
        <f t="shared" si="6"/>
        <v/>
      </c>
      <c r="AE33" s="609" t="str">
        <f t="shared" si="6"/>
        <v/>
      </c>
      <c r="AF33" s="609" t="str">
        <f t="shared" si="6"/>
        <v/>
      </c>
      <c r="AG33" s="609" t="str">
        <f t="shared" si="6"/>
        <v/>
      </c>
      <c r="AH33" s="609" t="str">
        <f t="shared" si="6"/>
        <v/>
      </c>
      <c r="AI33" s="609" t="str">
        <f t="shared" si="6"/>
        <v/>
      </c>
      <c r="AJ33" s="609" t="str">
        <f t="shared" si="6"/>
        <v/>
      </c>
      <c r="AK33" s="609" t="str">
        <f t="shared" si="6"/>
        <v/>
      </c>
      <c r="AL33" s="609" t="str">
        <f t="shared" si="6"/>
        <v/>
      </c>
      <c r="AM33" s="609" t="str">
        <f t="shared" si="6"/>
        <v/>
      </c>
      <c r="AN33" s="609" t="str">
        <f t="shared" si="6"/>
        <v/>
      </c>
      <c r="AO33" s="609" t="str">
        <f t="shared" si="6"/>
        <v/>
      </c>
      <c r="AP33" s="609" t="str">
        <f t="shared" si="6"/>
        <v/>
      </c>
      <c r="AQ33" s="609" t="str">
        <f t="shared" si="6"/>
        <v/>
      </c>
      <c r="AR33" s="609" t="str">
        <f t="shared" si="6"/>
        <v/>
      </c>
      <c r="AS33" s="609" t="str">
        <f t="shared" si="6"/>
        <v/>
      </c>
      <c r="AT33" s="609" t="str">
        <f t="shared" si="6"/>
        <v/>
      </c>
      <c r="AU33" s="609" t="str">
        <f t="shared" si="6"/>
        <v/>
      </c>
      <c r="AV33" s="609" t="str">
        <f t="shared" si="6"/>
        <v/>
      </c>
      <c r="AW33" s="609" t="str">
        <f t="shared" si="6"/>
        <v/>
      </c>
      <c r="AX33" s="609" t="str">
        <f t="shared" si="6"/>
        <v/>
      </c>
      <c r="AY33" s="609" t="str">
        <f t="shared" si="6"/>
        <v/>
      </c>
      <c r="AZ33" s="609" t="str">
        <f t="shared" si="6"/>
        <v/>
      </c>
      <c r="BA33" s="609" t="str">
        <f t="shared" si="6"/>
        <v/>
      </c>
      <c r="BB33" s="609" t="str">
        <f t="shared" si="6"/>
        <v/>
      </c>
      <c r="BC33" s="609" t="str">
        <f t="shared" si="6"/>
        <v/>
      </c>
      <c r="BD33" s="609" t="str">
        <f t="shared" si="6"/>
        <v/>
      </c>
      <c r="BE33" s="609" t="str">
        <f t="shared" si="6"/>
        <v/>
      </c>
      <c r="BF33" s="609" t="str">
        <f t="shared" si="6"/>
        <v/>
      </c>
      <c r="BG33" s="609" t="str">
        <f t="shared" si="6"/>
        <v/>
      </c>
    </row>
    <row r="34" spans="2:59" x14ac:dyDescent="0.25">
      <c r="B34" s="654">
        <v>28</v>
      </c>
      <c r="C34" s="654"/>
      <c r="D34" s="654"/>
      <c r="E34" s="655"/>
      <c r="F34" s="654"/>
      <c r="H34" s="609" t="str">
        <f t="shared" si="1"/>
        <v/>
      </c>
      <c r="I34" s="609" t="str">
        <f t="shared" si="6"/>
        <v/>
      </c>
      <c r="J34" s="609" t="str">
        <f t="shared" si="6"/>
        <v/>
      </c>
      <c r="K34" s="609" t="str">
        <f t="shared" si="6"/>
        <v/>
      </c>
      <c r="L34" s="609" t="str">
        <f t="shared" si="6"/>
        <v/>
      </c>
      <c r="M34" s="609" t="str">
        <f t="shared" si="6"/>
        <v/>
      </c>
      <c r="N34" s="609" t="str">
        <f t="shared" si="6"/>
        <v/>
      </c>
      <c r="O34" s="609" t="str">
        <f t="shared" si="6"/>
        <v/>
      </c>
      <c r="P34" s="609" t="str">
        <f t="shared" si="6"/>
        <v/>
      </c>
      <c r="Q34" s="609" t="str">
        <f t="shared" si="6"/>
        <v/>
      </c>
      <c r="R34" s="609" t="str">
        <f t="shared" si="6"/>
        <v/>
      </c>
      <c r="S34" s="609" t="str">
        <f t="shared" si="6"/>
        <v/>
      </c>
      <c r="T34" s="609" t="str">
        <f t="shared" si="6"/>
        <v/>
      </c>
      <c r="U34" s="609" t="str">
        <f t="shared" si="6"/>
        <v/>
      </c>
      <c r="V34" s="609" t="str">
        <f t="shared" si="6"/>
        <v/>
      </c>
      <c r="W34" s="609" t="str">
        <f t="shared" si="6"/>
        <v/>
      </c>
      <c r="X34" s="609" t="str">
        <f t="shared" si="6"/>
        <v/>
      </c>
      <c r="Y34" s="609" t="str">
        <f t="shared" si="6"/>
        <v/>
      </c>
      <c r="Z34" s="609" t="str">
        <f t="shared" si="6"/>
        <v/>
      </c>
      <c r="AA34" s="609" t="str">
        <f t="shared" si="6"/>
        <v/>
      </c>
      <c r="AB34" s="609" t="str">
        <f t="shared" si="6"/>
        <v/>
      </c>
      <c r="AC34" s="609" t="str">
        <f t="shared" si="6"/>
        <v/>
      </c>
      <c r="AD34" s="609" t="str">
        <f t="shared" si="6"/>
        <v/>
      </c>
      <c r="AE34" s="609" t="str">
        <f t="shared" si="6"/>
        <v/>
      </c>
      <c r="AF34" s="609" t="str">
        <f t="shared" si="6"/>
        <v/>
      </c>
      <c r="AG34" s="609" t="str">
        <f t="shared" si="6"/>
        <v/>
      </c>
      <c r="AH34" s="609" t="str">
        <f t="shared" si="6"/>
        <v/>
      </c>
      <c r="AI34" s="609" t="str">
        <f t="shared" si="6"/>
        <v/>
      </c>
      <c r="AJ34" s="609" t="str">
        <f t="shared" si="6"/>
        <v/>
      </c>
      <c r="AK34" s="609" t="str">
        <f t="shared" si="6"/>
        <v/>
      </c>
      <c r="AL34" s="609" t="str">
        <f t="shared" si="6"/>
        <v/>
      </c>
      <c r="AM34" s="609" t="str">
        <f t="shared" si="6"/>
        <v/>
      </c>
      <c r="AN34" s="609" t="str">
        <f t="shared" si="6"/>
        <v/>
      </c>
      <c r="AO34" s="609" t="str">
        <f t="shared" si="6"/>
        <v/>
      </c>
      <c r="AP34" s="609" t="str">
        <f t="shared" si="6"/>
        <v/>
      </c>
      <c r="AQ34" s="609" t="str">
        <f t="shared" si="6"/>
        <v/>
      </c>
      <c r="AR34" s="609" t="str">
        <f t="shared" si="6"/>
        <v/>
      </c>
      <c r="AS34" s="609" t="str">
        <f t="shared" si="6"/>
        <v/>
      </c>
      <c r="AT34" s="609" t="str">
        <f t="shared" si="6"/>
        <v/>
      </c>
      <c r="AU34" s="609" t="str">
        <f t="shared" si="6"/>
        <v/>
      </c>
      <c r="AV34" s="609" t="str">
        <f t="shared" si="6"/>
        <v/>
      </c>
      <c r="AW34" s="609" t="str">
        <f t="shared" si="6"/>
        <v/>
      </c>
      <c r="AX34" s="609" t="str">
        <f t="shared" si="6"/>
        <v/>
      </c>
      <c r="AY34" s="609" t="str">
        <f t="shared" si="6"/>
        <v/>
      </c>
      <c r="AZ34" s="609" t="str">
        <f t="shared" si="6"/>
        <v/>
      </c>
      <c r="BA34" s="609" t="str">
        <f t="shared" si="6"/>
        <v/>
      </c>
      <c r="BB34" s="609" t="str">
        <f t="shared" si="6"/>
        <v/>
      </c>
      <c r="BC34" s="609" t="str">
        <f t="shared" si="6"/>
        <v/>
      </c>
      <c r="BD34" s="609" t="str">
        <f t="shared" si="6"/>
        <v/>
      </c>
      <c r="BE34" s="609" t="str">
        <f t="shared" si="6"/>
        <v/>
      </c>
      <c r="BF34" s="609" t="str">
        <f t="shared" si="6"/>
        <v/>
      </c>
      <c r="BG34" s="609" t="str">
        <f t="shared" si="6"/>
        <v/>
      </c>
    </row>
    <row r="35" spans="2:59" x14ac:dyDescent="0.25">
      <c r="B35" s="654">
        <v>29</v>
      </c>
      <c r="C35" s="654"/>
      <c r="D35" s="654"/>
      <c r="E35" s="655"/>
      <c r="F35" s="654"/>
      <c r="H35" s="609" t="str">
        <f t="shared" si="1"/>
        <v/>
      </c>
      <c r="I35" s="609" t="str">
        <f t="shared" si="6"/>
        <v/>
      </c>
      <c r="J35" s="609" t="str">
        <f t="shared" si="6"/>
        <v/>
      </c>
      <c r="K35" s="609" t="str">
        <f t="shared" si="6"/>
        <v/>
      </c>
      <c r="L35" s="609" t="str">
        <f t="shared" si="6"/>
        <v/>
      </c>
      <c r="M35" s="609" t="str">
        <f t="shared" si="6"/>
        <v/>
      </c>
      <c r="N35" s="609" t="str">
        <f t="shared" si="6"/>
        <v/>
      </c>
      <c r="O35" s="609" t="str">
        <f t="shared" si="6"/>
        <v/>
      </c>
      <c r="P35" s="609" t="str">
        <f t="shared" si="6"/>
        <v/>
      </c>
      <c r="Q35" s="609" t="str">
        <f t="shared" si="6"/>
        <v/>
      </c>
      <c r="R35" s="609" t="str">
        <f t="shared" si="6"/>
        <v/>
      </c>
      <c r="S35" s="609" t="str">
        <f t="shared" si="6"/>
        <v/>
      </c>
      <c r="T35" s="609" t="str">
        <f t="shared" si="6"/>
        <v/>
      </c>
      <c r="U35" s="609" t="str">
        <f t="shared" si="6"/>
        <v/>
      </c>
      <c r="V35" s="609" t="str">
        <f t="shared" si="6"/>
        <v/>
      </c>
      <c r="W35" s="609" t="str">
        <f t="shared" si="6"/>
        <v/>
      </c>
      <c r="X35" s="609" t="str">
        <f t="shared" si="6"/>
        <v/>
      </c>
      <c r="Y35" s="609" t="str">
        <f t="shared" si="6"/>
        <v/>
      </c>
      <c r="Z35" s="609" t="str">
        <f t="shared" si="6"/>
        <v/>
      </c>
      <c r="AA35" s="609" t="str">
        <f t="shared" si="6"/>
        <v/>
      </c>
      <c r="AB35" s="609" t="str">
        <f t="shared" si="6"/>
        <v/>
      </c>
      <c r="AC35" s="609" t="str">
        <f t="shared" si="6"/>
        <v/>
      </c>
      <c r="AD35" s="609" t="str">
        <f t="shared" si="6"/>
        <v/>
      </c>
      <c r="AE35" s="609" t="str">
        <f t="shared" si="6"/>
        <v/>
      </c>
      <c r="AF35" s="609" t="str">
        <f t="shared" si="6"/>
        <v/>
      </c>
      <c r="AG35" s="609" t="str">
        <f t="shared" si="6"/>
        <v/>
      </c>
      <c r="AH35" s="609" t="str">
        <f t="shared" si="6"/>
        <v/>
      </c>
      <c r="AI35" s="609" t="str">
        <f t="shared" si="6"/>
        <v/>
      </c>
      <c r="AJ35" s="609" t="str">
        <f t="shared" si="6"/>
        <v/>
      </c>
      <c r="AK35" s="609" t="str">
        <f t="shared" si="6"/>
        <v/>
      </c>
      <c r="AL35" s="609" t="str">
        <f t="shared" si="6"/>
        <v/>
      </c>
      <c r="AM35" s="609" t="str">
        <f t="shared" si="6"/>
        <v/>
      </c>
      <c r="AN35" s="609" t="str">
        <f t="shared" si="6"/>
        <v/>
      </c>
      <c r="AO35" s="609" t="str">
        <f t="shared" si="6"/>
        <v/>
      </c>
      <c r="AP35" s="609" t="str">
        <f t="shared" si="6"/>
        <v/>
      </c>
      <c r="AQ35" s="609" t="str">
        <f t="shared" si="6"/>
        <v/>
      </c>
      <c r="AR35" s="609" t="str">
        <f t="shared" si="6"/>
        <v/>
      </c>
      <c r="AS35" s="609" t="str">
        <f t="shared" si="6"/>
        <v/>
      </c>
      <c r="AT35" s="609" t="str">
        <f t="shared" si="6"/>
        <v/>
      </c>
      <c r="AU35" s="609" t="str">
        <f t="shared" si="6"/>
        <v/>
      </c>
      <c r="AV35" s="609" t="str">
        <f t="shared" si="6"/>
        <v/>
      </c>
      <c r="AW35" s="609" t="str">
        <f t="shared" si="6"/>
        <v/>
      </c>
      <c r="AX35" s="609" t="str">
        <f t="shared" si="6"/>
        <v/>
      </c>
      <c r="AY35" s="609" t="str">
        <f t="shared" si="6"/>
        <v/>
      </c>
      <c r="AZ35" s="609" t="str">
        <f t="shared" si="6"/>
        <v/>
      </c>
      <c r="BA35" s="609" t="str">
        <f t="shared" si="6"/>
        <v/>
      </c>
      <c r="BB35" s="609" t="str">
        <f t="shared" si="6"/>
        <v/>
      </c>
      <c r="BC35" s="609" t="str">
        <f t="shared" si="6"/>
        <v/>
      </c>
      <c r="BD35" s="609" t="str">
        <f t="shared" si="6"/>
        <v/>
      </c>
      <c r="BE35" s="609" t="str">
        <f t="shared" si="6"/>
        <v/>
      </c>
      <c r="BF35" s="609" t="str">
        <f t="shared" si="6"/>
        <v/>
      </c>
      <c r="BG35" s="609" t="str">
        <f t="shared" si="6"/>
        <v/>
      </c>
    </row>
    <row r="36" spans="2:59" x14ac:dyDescent="0.25">
      <c r="B36" s="654">
        <v>30</v>
      </c>
      <c r="C36" s="654"/>
      <c r="D36" s="654"/>
      <c r="E36" s="655"/>
      <c r="F36" s="654"/>
      <c r="H36" s="609" t="str">
        <f t="shared" si="1"/>
        <v/>
      </c>
      <c r="I36" s="609" t="str">
        <f t="shared" si="6"/>
        <v/>
      </c>
      <c r="J36" s="609" t="str">
        <f t="shared" si="6"/>
        <v/>
      </c>
      <c r="K36" s="609" t="str">
        <f t="shared" si="6"/>
        <v/>
      </c>
      <c r="L36" s="609" t="str">
        <f t="shared" si="6"/>
        <v/>
      </c>
      <c r="M36" s="609" t="str">
        <f t="shared" si="6"/>
        <v/>
      </c>
      <c r="N36" s="609" t="str">
        <f t="shared" si="6"/>
        <v/>
      </c>
      <c r="O36" s="609" t="str">
        <f t="shared" si="6"/>
        <v/>
      </c>
      <c r="P36" s="609" t="str">
        <f t="shared" si="6"/>
        <v/>
      </c>
      <c r="Q36" s="609" t="str">
        <f t="shared" si="6"/>
        <v/>
      </c>
      <c r="R36" s="609" t="str">
        <f t="shared" si="6"/>
        <v/>
      </c>
      <c r="S36" s="609" t="str">
        <f t="shared" si="6"/>
        <v/>
      </c>
      <c r="T36" s="609" t="str">
        <f t="shared" si="6"/>
        <v/>
      </c>
      <c r="U36" s="609" t="str">
        <f t="shared" si="6"/>
        <v/>
      </c>
      <c r="V36" s="609" t="str">
        <f t="shared" si="6"/>
        <v/>
      </c>
      <c r="W36" s="609" t="str">
        <f t="shared" si="6"/>
        <v/>
      </c>
      <c r="X36" s="609" t="str">
        <f t="shared" si="6"/>
        <v/>
      </c>
      <c r="Y36" s="609" t="str">
        <f t="shared" si="6"/>
        <v/>
      </c>
      <c r="Z36" s="609" t="str">
        <f t="shared" si="6"/>
        <v/>
      </c>
      <c r="AA36" s="609" t="str">
        <f t="shared" si="6"/>
        <v/>
      </c>
      <c r="AB36" s="609" t="str">
        <f t="shared" si="6"/>
        <v/>
      </c>
      <c r="AC36" s="609" t="str">
        <f t="shared" si="6"/>
        <v/>
      </c>
      <c r="AD36" s="609" t="str">
        <f t="shared" si="6"/>
        <v/>
      </c>
      <c r="AE36" s="609" t="str">
        <f t="shared" si="6"/>
        <v/>
      </c>
      <c r="AF36" s="609" t="str">
        <f t="shared" si="6"/>
        <v/>
      </c>
      <c r="AG36" s="609" t="str">
        <f t="shared" si="6"/>
        <v/>
      </c>
      <c r="AH36" s="609" t="str">
        <f t="shared" si="6"/>
        <v/>
      </c>
      <c r="AI36" s="609" t="str">
        <f t="shared" si="6"/>
        <v/>
      </c>
      <c r="AJ36" s="609" t="str">
        <f t="shared" si="6"/>
        <v/>
      </c>
      <c r="AK36" s="609" t="str">
        <f t="shared" si="6"/>
        <v/>
      </c>
      <c r="AL36" s="609" t="str">
        <f t="shared" si="6"/>
        <v/>
      </c>
      <c r="AM36" s="609" t="str">
        <f t="shared" si="6"/>
        <v/>
      </c>
      <c r="AN36" s="609" t="str">
        <f t="shared" si="6"/>
        <v/>
      </c>
      <c r="AO36" s="609" t="str">
        <f t="shared" si="6"/>
        <v/>
      </c>
      <c r="AP36" s="609" t="str">
        <f t="shared" si="6"/>
        <v/>
      </c>
      <c r="AQ36" s="609" t="str">
        <f t="shared" si="6"/>
        <v/>
      </c>
      <c r="AR36" s="609" t="str">
        <f t="shared" si="6"/>
        <v/>
      </c>
      <c r="AS36" s="609" t="str">
        <f t="shared" si="6"/>
        <v/>
      </c>
      <c r="AT36" s="609" t="str">
        <f t="shared" si="6"/>
        <v/>
      </c>
      <c r="AU36" s="609" t="str">
        <f t="shared" si="6"/>
        <v/>
      </c>
      <c r="AV36" s="609" t="str">
        <f t="shared" si="6"/>
        <v/>
      </c>
      <c r="AW36" s="609" t="str">
        <f t="shared" si="6"/>
        <v/>
      </c>
      <c r="AX36" s="609" t="str">
        <f t="shared" si="6"/>
        <v/>
      </c>
      <c r="AY36" s="609" t="str">
        <f t="shared" si="6"/>
        <v/>
      </c>
      <c r="AZ36" s="609" t="str">
        <f t="shared" si="6"/>
        <v/>
      </c>
      <c r="BA36" s="609" t="str">
        <f t="shared" si="6"/>
        <v/>
      </c>
      <c r="BB36" s="609" t="str">
        <f t="shared" si="6"/>
        <v/>
      </c>
      <c r="BC36" s="609" t="str">
        <f t="shared" si="6"/>
        <v/>
      </c>
      <c r="BD36" s="609" t="str">
        <f t="shared" si="6"/>
        <v/>
      </c>
      <c r="BE36" s="609" t="str">
        <f t="shared" si="6"/>
        <v/>
      </c>
      <c r="BF36" s="609" t="str">
        <f t="shared" si="6"/>
        <v/>
      </c>
      <c r="BG36" s="609" t="str">
        <f t="shared" si="6"/>
        <v/>
      </c>
    </row>
    <row r="37" spans="2:59" x14ac:dyDescent="0.25">
      <c r="B37" s="654">
        <v>31</v>
      </c>
      <c r="C37" s="654"/>
      <c r="D37" s="654"/>
      <c r="E37" s="655"/>
      <c r="F37" s="654"/>
      <c r="H37" s="609" t="str">
        <f t="shared" si="1"/>
        <v/>
      </c>
      <c r="I37" s="609" t="str">
        <f t="shared" si="6"/>
        <v/>
      </c>
      <c r="J37" s="609" t="str">
        <f t="shared" si="6"/>
        <v/>
      </c>
      <c r="K37" s="609" t="str">
        <f t="shared" si="6"/>
        <v/>
      </c>
      <c r="L37" s="609" t="str">
        <f t="shared" si="6"/>
        <v/>
      </c>
      <c r="M37" s="609" t="str">
        <f t="shared" si="6"/>
        <v/>
      </c>
      <c r="N37" s="609" t="str">
        <f t="shared" si="6"/>
        <v/>
      </c>
      <c r="O37" s="609" t="str">
        <f t="shared" si="6"/>
        <v/>
      </c>
      <c r="P37" s="609" t="str">
        <f t="shared" si="6"/>
        <v/>
      </c>
      <c r="Q37" s="609" t="str">
        <f t="shared" si="6"/>
        <v/>
      </c>
      <c r="R37" s="609" t="str">
        <f t="shared" si="6"/>
        <v/>
      </c>
      <c r="S37" s="609" t="str">
        <f t="shared" si="6"/>
        <v/>
      </c>
      <c r="T37" s="609" t="str">
        <f t="shared" si="6"/>
        <v/>
      </c>
      <c r="U37" s="609" t="str">
        <f t="shared" si="6"/>
        <v/>
      </c>
      <c r="V37" s="609" t="str">
        <f t="shared" si="6"/>
        <v/>
      </c>
      <c r="W37" s="609" t="str">
        <f t="shared" si="6"/>
        <v/>
      </c>
      <c r="X37" s="609" t="str">
        <f t="shared" ref="I37:BG42" si="7">IF($D37=X$6,$B37&amp;", ","")</f>
        <v/>
      </c>
      <c r="Y37" s="609" t="str">
        <f t="shared" si="7"/>
        <v/>
      </c>
      <c r="Z37" s="609" t="str">
        <f t="shared" si="7"/>
        <v/>
      </c>
      <c r="AA37" s="609" t="str">
        <f t="shared" si="7"/>
        <v/>
      </c>
      <c r="AB37" s="609" t="str">
        <f t="shared" si="7"/>
        <v/>
      </c>
      <c r="AC37" s="609" t="str">
        <f t="shared" si="7"/>
        <v/>
      </c>
      <c r="AD37" s="609" t="str">
        <f t="shared" si="7"/>
        <v/>
      </c>
      <c r="AE37" s="609" t="str">
        <f t="shared" si="7"/>
        <v/>
      </c>
      <c r="AF37" s="609" t="str">
        <f t="shared" si="7"/>
        <v/>
      </c>
      <c r="AG37" s="609" t="str">
        <f t="shared" si="7"/>
        <v/>
      </c>
      <c r="AH37" s="609" t="str">
        <f t="shared" si="7"/>
        <v/>
      </c>
      <c r="AI37" s="609" t="str">
        <f t="shared" si="7"/>
        <v/>
      </c>
      <c r="AJ37" s="609" t="str">
        <f t="shared" si="7"/>
        <v/>
      </c>
      <c r="AK37" s="609" t="str">
        <f t="shared" si="7"/>
        <v/>
      </c>
      <c r="AL37" s="609" t="str">
        <f t="shared" si="7"/>
        <v/>
      </c>
      <c r="AM37" s="609" t="str">
        <f t="shared" si="7"/>
        <v/>
      </c>
      <c r="AN37" s="609" t="str">
        <f t="shared" si="7"/>
        <v/>
      </c>
      <c r="AO37" s="609" t="str">
        <f t="shared" si="7"/>
        <v/>
      </c>
      <c r="AP37" s="609" t="str">
        <f t="shared" si="7"/>
        <v/>
      </c>
      <c r="AQ37" s="609" t="str">
        <f t="shared" si="7"/>
        <v/>
      </c>
      <c r="AR37" s="609" t="str">
        <f t="shared" si="7"/>
        <v/>
      </c>
      <c r="AS37" s="609" t="str">
        <f t="shared" si="7"/>
        <v/>
      </c>
      <c r="AT37" s="609" t="str">
        <f t="shared" si="7"/>
        <v/>
      </c>
      <c r="AU37" s="609" t="str">
        <f t="shared" si="7"/>
        <v/>
      </c>
      <c r="AV37" s="609" t="str">
        <f t="shared" si="7"/>
        <v/>
      </c>
      <c r="AW37" s="609" t="str">
        <f t="shared" si="7"/>
        <v/>
      </c>
      <c r="AX37" s="609" t="str">
        <f t="shared" si="7"/>
        <v/>
      </c>
      <c r="AY37" s="609" t="str">
        <f t="shared" si="7"/>
        <v/>
      </c>
      <c r="AZ37" s="609" t="str">
        <f t="shared" si="7"/>
        <v/>
      </c>
      <c r="BA37" s="609" t="str">
        <f t="shared" si="7"/>
        <v/>
      </c>
      <c r="BB37" s="609" t="str">
        <f t="shared" si="7"/>
        <v/>
      </c>
      <c r="BC37" s="609" t="str">
        <f t="shared" si="7"/>
        <v/>
      </c>
      <c r="BD37" s="609" t="str">
        <f t="shared" si="7"/>
        <v/>
      </c>
      <c r="BE37" s="609" t="str">
        <f t="shared" si="7"/>
        <v/>
      </c>
      <c r="BF37" s="609" t="str">
        <f t="shared" si="7"/>
        <v/>
      </c>
      <c r="BG37" s="609" t="str">
        <f t="shared" si="7"/>
        <v/>
      </c>
    </row>
    <row r="38" spans="2:59" x14ac:dyDescent="0.25">
      <c r="B38" s="654">
        <v>32</v>
      </c>
      <c r="C38" s="654"/>
      <c r="D38" s="654"/>
      <c r="E38" s="655"/>
      <c r="F38" s="654"/>
      <c r="H38" s="609" t="str">
        <f t="shared" si="1"/>
        <v/>
      </c>
      <c r="I38" s="609" t="str">
        <f t="shared" si="7"/>
        <v/>
      </c>
      <c r="J38" s="609" t="str">
        <f t="shared" si="7"/>
        <v/>
      </c>
      <c r="K38" s="609" t="str">
        <f t="shared" si="7"/>
        <v/>
      </c>
      <c r="L38" s="609" t="str">
        <f t="shared" si="7"/>
        <v/>
      </c>
      <c r="M38" s="609" t="str">
        <f t="shared" si="7"/>
        <v/>
      </c>
      <c r="N38" s="609" t="str">
        <f t="shared" si="7"/>
        <v/>
      </c>
      <c r="O38" s="609" t="str">
        <f t="shared" si="7"/>
        <v/>
      </c>
      <c r="P38" s="609" t="str">
        <f t="shared" si="7"/>
        <v/>
      </c>
      <c r="Q38" s="609" t="str">
        <f t="shared" si="7"/>
        <v/>
      </c>
      <c r="R38" s="609" t="str">
        <f t="shared" si="7"/>
        <v/>
      </c>
      <c r="S38" s="609" t="str">
        <f t="shared" si="7"/>
        <v/>
      </c>
      <c r="T38" s="609" t="str">
        <f t="shared" si="7"/>
        <v/>
      </c>
      <c r="U38" s="609" t="str">
        <f t="shared" si="7"/>
        <v/>
      </c>
      <c r="V38" s="609" t="str">
        <f t="shared" si="7"/>
        <v/>
      </c>
      <c r="W38" s="609" t="str">
        <f t="shared" si="7"/>
        <v/>
      </c>
      <c r="X38" s="609" t="str">
        <f t="shared" si="7"/>
        <v/>
      </c>
      <c r="Y38" s="609" t="str">
        <f t="shared" si="7"/>
        <v/>
      </c>
      <c r="Z38" s="609" t="str">
        <f t="shared" si="7"/>
        <v/>
      </c>
      <c r="AA38" s="609" t="str">
        <f t="shared" si="7"/>
        <v/>
      </c>
      <c r="AB38" s="609" t="str">
        <f t="shared" si="7"/>
        <v/>
      </c>
      <c r="AC38" s="609" t="str">
        <f t="shared" si="7"/>
        <v/>
      </c>
      <c r="AD38" s="609" t="str">
        <f t="shared" si="7"/>
        <v/>
      </c>
      <c r="AE38" s="609" t="str">
        <f t="shared" si="7"/>
        <v/>
      </c>
      <c r="AF38" s="609" t="str">
        <f t="shared" si="7"/>
        <v/>
      </c>
      <c r="AG38" s="609" t="str">
        <f t="shared" si="7"/>
        <v/>
      </c>
      <c r="AH38" s="609" t="str">
        <f t="shared" si="7"/>
        <v/>
      </c>
      <c r="AI38" s="609" t="str">
        <f t="shared" si="7"/>
        <v/>
      </c>
      <c r="AJ38" s="609" t="str">
        <f t="shared" si="7"/>
        <v/>
      </c>
      <c r="AK38" s="609" t="str">
        <f t="shared" si="7"/>
        <v/>
      </c>
      <c r="AL38" s="609" t="str">
        <f t="shared" si="7"/>
        <v/>
      </c>
      <c r="AM38" s="609" t="str">
        <f t="shared" si="7"/>
        <v/>
      </c>
      <c r="AN38" s="609" t="str">
        <f t="shared" si="7"/>
        <v/>
      </c>
      <c r="AO38" s="609" t="str">
        <f t="shared" si="7"/>
        <v/>
      </c>
      <c r="AP38" s="609" t="str">
        <f t="shared" si="7"/>
        <v/>
      </c>
      <c r="AQ38" s="609" t="str">
        <f t="shared" si="7"/>
        <v/>
      </c>
      <c r="AR38" s="609" t="str">
        <f t="shared" si="7"/>
        <v/>
      </c>
      <c r="AS38" s="609" t="str">
        <f t="shared" si="7"/>
        <v/>
      </c>
      <c r="AT38" s="609" t="str">
        <f t="shared" si="7"/>
        <v/>
      </c>
      <c r="AU38" s="609" t="str">
        <f t="shared" si="7"/>
        <v/>
      </c>
      <c r="AV38" s="609" t="str">
        <f t="shared" si="7"/>
        <v/>
      </c>
      <c r="AW38" s="609" t="str">
        <f t="shared" si="7"/>
        <v/>
      </c>
      <c r="AX38" s="609" t="str">
        <f t="shared" si="7"/>
        <v/>
      </c>
      <c r="AY38" s="609" t="str">
        <f t="shared" si="7"/>
        <v/>
      </c>
      <c r="AZ38" s="609" t="str">
        <f t="shared" si="7"/>
        <v/>
      </c>
      <c r="BA38" s="609" t="str">
        <f t="shared" si="7"/>
        <v/>
      </c>
      <c r="BB38" s="609" t="str">
        <f t="shared" si="7"/>
        <v/>
      </c>
      <c r="BC38" s="609" t="str">
        <f t="shared" si="7"/>
        <v/>
      </c>
      <c r="BD38" s="609" t="str">
        <f t="shared" si="7"/>
        <v/>
      </c>
      <c r="BE38" s="609" t="str">
        <f t="shared" si="7"/>
        <v/>
      </c>
      <c r="BF38" s="609" t="str">
        <f t="shared" si="7"/>
        <v/>
      </c>
      <c r="BG38" s="609" t="str">
        <f t="shared" si="7"/>
        <v/>
      </c>
    </row>
    <row r="39" spans="2:59" x14ac:dyDescent="0.25">
      <c r="B39" s="654">
        <v>33</v>
      </c>
      <c r="C39" s="654"/>
      <c r="D39" s="654"/>
      <c r="E39" s="655"/>
      <c r="F39" s="654"/>
      <c r="H39" s="609" t="str">
        <f t="shared" si="1"/>
        <v/>
      </c>
      <c r="I39" s="609" t="str">
        <f t="shared" si="7"/>
        <v/>
      </c>
      <c r="J39" s="609" t="str">
        <f t="shared" si="7"/>
        <v/>
      </c>
      <c r="K39" s="609" t="str">
        <f t="shared" si="7"/>
        <v/>
      </c>
      <c r="L39" s="609" t="str">
        <f t="shared" si="7"/>
        <v/>
      </c>
      <c r="M39" s="609" t="str">
        <f t="shared" si="7"/>
        <v/>
      </c>
      <c r="N39" s="609" t="str">
        <f t="shared" si="7"/>
        <v/>
      </c>
      <c r="O39" s="609" t="str">
        <f t="shared" si="7"/>
        <v/>
      </c>
      <c r="P39" s="609" t="str">
        <f t="shared" si="7"/>
        <v/>
      </c>
      <c r="Q39" s="609" t="str">
        <f t="shared" si="7"/>
        <v/>
      </c>
      <c r="R39" s="609" t="str">
        <f t="shared" si="7"/>
        <v/>
      </c>
      <c r="S39" s="609" t="str">
        <f t="shared" si="7"/>
        <v/>
      </c>
      <c r="T39" s="609" t="str">
        <f t="shared" si="7"/>
        <v/>
      </c>
      <c r="U39" s="609" t="str">
        <f t="shared" si="7"/>
        <v/>
      </c>
      <c r="V39" s="609" t="str">
        <f t="shared" si="7"/>
        <v/>
      </c>
      <c r="W39" s="609" t="str">
        <f t="shared" si="7"/>
        <v/>
      </c>
      <c r="X39" s="609" t="str">
        <f t="shared" si="7"/>
        <v/>
      </c>
      <c r="Y39" s="609" t="str">
        <f t="shared" si="7"/>
        <v/>
      </c>
      <c r="Z39" s="609" t="str">
        <f t="shared" si="7"/>
        <v/>
      </c>
      <c r="AA39" s="609" t="str">
        <f t="shared" si="7"/>
        <v/>
      </c>
      <c r="AB39" s="609" t="str">
        <f t="shared" si="7"/>
        <v/>
      </c>
      <c r="AC39" s="609" t="str">
        <f t="shared" si="7"/>
        <v/>
      </c>
      <c r="AD39" s="609" t="str">
        <f t="shared" si="7"/>
        <v/>
      </c>
      <c r="AE39" s="609" t="str">
        <f t="shared" si="7"/>
        <v/>
      </c>
      <c r="AF39" s="609" t="str">
        <f t="shared" si="7"/>
        <v/>
      </c>
      <c r="AG39" s="609" t="str">
        <f t="shared" si="7"/>
        <v/>
      </c>
      <c r="AH39" s="609" t="str">
        <f t="shared" si="7"/>
        <v/>
      </c>
      <c r="AI39" s="609" t="str">
        <f t="shared" si="7"/>
        <v/>
      </c>
      <c r="AJ39" s="609" t="str">
        <f t="shared" si="7"/>
        <v/>
      </c>
      <c r="AK39" s="609" t="str">
        <f t="shared" si="7"/>
        <v/>
      </c>
      <c r="AL39" s="609" t="str">
        <f t="shared" si="7"/>
        <v/>
      </c>
      <c r="AM39" s="609" t="str">
        <f t="shared" si="7"/>
        <v/>
      </c>
      <c r="AN39" s="609" t="str">
        <f t="shared" si="7"/>
        <v/>
      </c>
      <c r="AO39" s="609" t="str">
        <f t="shared" si="7"/>
        <v/>
      </c>
      <c r="AP39" s="609" t="str">
        <f t="shared" si="7"/>
        <v/>
      </c>
      <c r="AQ39" s="609" t="str">
        <f t="shared" si="7"/>
        <v/>
      </c>
      <c r="AR39" s="609" t="str">
        <f t="shared" si="7"/>
        <v/>
      </c>
      <c r="AS39" s="609" t="str">
        <f t="shared" si="7"/>
        <v/>
      </c>
      <c r="AT39" s="609" t="str">
        <f t="shared" si="7"/>
        <v/>
      </c>
      <c r="AU39" s="609" t="str">
        <f t="shared" si="7"/>
        <v/>
      </c>
      <c r="AV39" s="609" t="str">
        <f t="shared" si="7"/>
        <v/>
      </c>
      <c r="AW39" s="609" t="str">
        <f t="shared" si="7"/>
        <v/>
      </c>
      <c r="AX39" s="609" t="str">
        <f t="shared" si="7"/>
        <v/>
      </c>
      <c r="AY39" s="609" t="str">
        <f t="shared" si="7"/>
        <v/>
      </c>
      <c r="AZ39" s="609" t="str">
        <f t="shared" si="7"/>
        <v/>
      </c>
      <c r="BA39" s="609" t="str">
        <f t="shared" si="7"/>
        <v/>
      </c>
      <c r="BB39" s="609" t="str">
        <f t="shared" si="7"/>
        <v/>
      </c>
      <c r="BC39" s="609" t="str">
        <f t="shared" si="7"/>
        <v/>
      </c>
      <c r="BD39" s="609" t="str">
        <f t="shared" si="7"/>
        <v/>
      </c>
      <c r="BE39" s="609" t="str">
        <f t="shared" si="7"/>
        <v/>
      </c>
      <c r="BF39" s="609" t="str">
        <f t="shared" si="7"/>
        <v/>
      </c>
      <c r="BG39" s="609" t="str">
        <f t="shared" si="7"/>
        <v/>
      </c>
    </row>
    <row r="40" spans="2:59" x14ac:dyDescent="0.25">
      <c r="B40" s="654">
        <v>34</v>
      </c>
      <c r="C40" s="654"/>
      <c r="D40" s="654"/>
      <c r="E40" s="655"/>
      <c r="F40" s="654"/>
      <c r="H40" s="609" t="str">
        <f t="shared" si="1"/>
        <v/>
      </c>
      <c r="I40" s="609" t="str">
        <f t="shared" si="7"/>
        <v/>
      </c>
      <c r="J40" s="609" t="str">
        <f t="shared" si="7"/>
        <v/>
      </c>
      <c r="K40" s="609" t="str">
        <f t="shared" si="7"/>
        <v/>
      </c>
      <c r="L40" s="609" t="str">
        <f t="shared" si="7"/>
        <v/>
      </c>
      <c r="M40" s="609" t="str">
        <f t="shared" si="7"/>
        <v/>
      </c>
      <c r="N40" s="609" t="str">
        <f t="shared" si="7"/>
        <v/>
      </c>
      <c r="O40" s="609" t="str">
        <f t="shared" si="7"/>
        <v/>
      </c>
      <c r="P40" s="609" t="str">
        <f t="shared" si="7"/>
        <v/>
      </c>
      <c r="Q40" s="609" t="str">
        <f t="shared" si="7"/>
        <v/>
      </c>
      <c r="R40" s="609" t="str">
        <f t="shared" si="7"/>
        <v/>
      </c>
      <c r="S40" s="609" t="str">
        <f t="shared" si="7"/>
        <v/>
      </c>
      <c r="T40" s="609" t="str">
        <f t="shared" si="7"/>
        <v/>
      </c>
      <c r="U40" s="609" t="str">
        <f t="shared" si="7"/>
        <v/>
      </c>
      <c r="V40" s="609" t="str">
        <f t="shared" si="7"/>
        <v/>
      </c>
      <c r="W40" s="609" t="str">
        <f t="shared" si="7"/>
        <v/>
      </c>
      <c r="X40" s="609" t="str">
        <f t="shared" si="7"/>
        <v/>
      </c>
      <c r="Y40" s="609" t="str">
        <f t="shared" si="7"/>
        <v/>
      </c>
      <c r="Z40" s="609" t="str">
        <f t="shared" si="7"/>
        <v/>
      </c>
      <c r="AA40" s="609" t="str">
        <f t="shared" si="7"/>
        <v/>
      </c>
      <c r="AB40" s="609" t="str">
        <f t="shared" si="7"/>
        <v/>
      </c>
      <c r="AC40" s="609" t="str">
        <f t="shared" si="7"/>
        <v/>
      </c>
      <c r="AD40" s="609" t="str">
        <f t="shared" si="7"/>
        <v/>
      </c>
      <c r="AE40" s="609" t="str">
        <f t="shared" si="7"/>
        <v/>
      </c>
      <c r="AF40" s="609" t="str">
        <f t="shared" si="7"/>
        <v/>
      </c>
      <c r="AG40" s="609" t="str">
        <f t="shared" si="7"/>
        <v/>
      </c>
      <c r="AH40" s="609" t="str">
        <f t="shared" si="7"/>
        <v/>
      </c>
      <c r="AI40" s="609" t="str">
        <f t="shared" si="7"/>
        <v/>
      </c>
      <c r="AJ40" s="609" t="str">
        <f t="shared" si="7"/>
        <v/>
      </c>
      <c r="AK40" s="609" t="str">
        <f t="shared" si="7"/>
        <v/>
      </c>
      <c r="AL40" s="609" t="str">
        <f t="shared" si="7"/>
        <v/>
      </c>
      <c r="AM40" s="609" t="str">
        <f t="shared" si="7"/>
        <v/>
      </c>
      <c r="AN40" s="609" t="str">
        <f t="shared" si="7"/>
        <v/>
      </c>
      <c r="AO40" s="609" t="str">
        <f t="shared" si="7"/>
        <v/>
      </c>
      <c r="AP40" s="609" t="str">
        <f t="shared" si="7"/>
        <v/>
      </c>
      <c r="AQ40" s="609" t="str">
        <f t="shared" si="7"/>
        <v/>
      </c>
      <c r="AR40" s="609" t="str">
        <f t="shared" si="7"/>
        <v/>
      </c>
      <c r="AS40" s="609" t="str">
        <f t="shared" si="7"/>
        <v/>
      </c>
      <c r="AT40" s="609" t="str">
        <f t="shared" si="7"/>
        <v/>
      </c>
      <c r="AU40" s="609" t="str">
        <f t="shared" si="7"/>
        <v/>
      </c>
      <c r="AV40" s="609" t="str">
        <f t="shared" si="7"/>
        <v/>
      </c>
      <c r="AW40" s="609" t="str">
        <f t="shared" si="7"/>
        <v/>
      </c>
      <c r="AX40" s="609" t="str">
        <f t="shared" si="7"/>
        <v/>
      </c>
      <c r="AY40" s="609" t="str">
        <f t="shared" si="7"/>
        <v/>
      </c>
      <c r="AZ40" s="609" t="str">
        <f t="shared" si="7"/>
        <v/>
      </c>
      <c r="BA40" s="609" t="str">
        <f t="shared" si="7"/>
        <v/>
      </c>
      <c r="BB40" s="609" t="str">
        <f t="shared" si="7"/>
        <v/>
      </c>
      <c r="BC40" s="609" t="str">
        <f t="shared" si="7"/>
        <v/>
      </c>
      <c r="BD40" s="609" t="str">
        <f t="shared" si="7"/>
        <v/>
      </c>
      <c r="BE40" s="609" t="str">
        <f t="shared" si="7"/>
        <v/>
      </c>
      <c r="BF40" s="609" t="str">
        <f t="shared" si="7"/>
        <v/>
      </c>
      <c r="BG40" s="609" t="str">
        <f t="shared" si="7"/>
        <v/>
      </c>
    </row>
    <row r="41" spans="2:59" x14ac:dyDescent="0.25">
      <c r="B41" s="654">
        <v>35</v>
      </c>
      <c r="C41" s="654"/>
      <c r="D41" s="654"/>
      <c r="E41" s="655"/>
      <c r="F41" s="654"/>
      <c r="H41" s="609" t="str">
        <f t="shared" si="1"/>
        <v/>
      </c>
      <c r="I41" s="609" t="str">
        <f t="shared" si="7"/>
        <v/>
      </c>
      <c r="J41" s="609" t="str">
        <f t="shared" si="7"/>
        <v/>
      </c>
      <c r="K41" s="609" t="str">
        <f t="shared" si="7"/>
        <v/>
      </c>
      <c r="L41" s="609" t="str">
        <f t="shared" si="7"/>
        <v/>
      </c>
      <c r="M41" s="609" t="str">
        <f t="shared" si="7"/>
        <v/>
      </c>
      <c r="N41" s="609" t="str">
        <f t="shared" si="7"/>
        <v/>
      </c>
      <c r="O41" s="609" t="str">
        <f t="shared" si="7"/>
        <v/>
      </c>
      <c r="P41" s="609" t="str">
        <f t="shared" si="7"/>
        <v/>
      </c>
      <c r="Q41" s="609" t="str">
        <f t="shared" si="7"/>
        <v/>
      </c>
      <c r="R41" s="609" t="str">
        <f t="shared" si="7"/>
        <v/>
      </c>
      <c r="S41" s="609" t="str">
        <f t="shared" si="7"/>
        <v/>
      </c>
      <c r="T41" s="609" t="str">
        <f t="shared" si="7"/>
        <v/>
      </c>
      <c r="U41" s="609" t="str">
        <f t="shared" si="7"/>
        <v/>
      </c>
      <c r="V41" s="609" t="str">
        <f t="shared" si="7"/>
        <v/>
      </c>
      <c r="W41" s="609" t="str">
        <f t="shared" si="7"/>
        <v/>
      </c>
      <c r="X41" s="609" t="str">
        <f t="shared" si="7"/>
        <v/>
      </c>
      <c r="Y41" s="609" t="str">
        <f t="shared" si="7"/>
        <v/>
      </c>
      <c r="Z41" s="609" t="str">
        <f t="shared" si="7"/>
        <v/>
      </c>
      <c r="AA41" s="609" t="str">
        <f t="shared" si="7"/>
        <v/>
      </c>
      <c r="AB41" s="609" t="str">
        <f t="shared" si="7"/>
        <v/>
      </c>
      <c r="AC41" s="609" t="str">
        <f t="shared" si="7"/>
        <v/>
      </c>
      <c r="AD41" s="609" t="str">
        <f t="shared" si="7"/>
        <v/>
      </c>
      <c r="AE41" s="609" t="str">
        <f t="shared" si="7"/>
        <v/>
      </c>
      <c r="AF41" s="609" t="str">
        <f t="shared" si="7"/>
        <v/>
      </c>
      <c r="AG41" s="609" t="str">
        <f t="shared" si="7"/>
        <v/>
      </c>
      <c r="AH41" s="609" t="str">
        <f t="shared" si="7"/>
        <v/>
      </c>
      <c r="AI41" s="609" t="str">
        <f t="shared" si="7"/>
        <v/>
      </c>
      <c r="AJ41" s="609" t="str">
        <f t="shared" si="7"/>
        <v/>
      </c>
      <c r="AK41" s="609" t="str">
        <f t="shared" si="7"/>
        <v/>
      </c>
      <c r="AL41" s="609" t="str">
        <f t="shared" si="7"/>
        <v/>
      </c>
      <c r="AM41" s="609" t="str">
        <f t="shared" si="7"/>
        <v/>
      </c>
      <c r="AN41" s="609" t="str">
        <f t="shared" si="7"/>
        <v/>
      </c>
      <c r="AO41" s="609" t="str">
        <f t="shared" si="7"/>
        <v/>
      </c>
      <c r="AP41" s="609" t="str">
        <f t="shared" si="7"/>
        <v/>
      </c>
      <c r="AQ41" s="609" t="str">
        <f t="shared" si="7"/>
        <v/>
      </c>
      <c r="AR41" s="609" t="str">
        <f t="shared" si="7"/>
        <v/>
      </c>
      <c r="AS41" s="609" t="str">
        <f t="shared" si="7"/>
        <v/>
      </c>
      <c r="AT41" s="609" t="str">
        <f t="shared" si="7"/>
        <v/>
      </c>
      <c r="AU41" s="609" t="str">
        <f t="shared" si="7"/>
        <v/>
      </c>
      <c r="AV41" s="609" t="str">
        <f t="shared" si="7"/>
        <v/>
      </c>
      <c r="AW41" s="609" t="str">
        <f t="shared" si="7"/>
        <v/>
      </c>
      <c r="AX41" s="609" t="str">
        <f t="shared" si="7"/>
        <v/>
      </c>
      <c r="AY41" s="609" t="str">
        <f t="shared" si="7"/>
        <v/>
      </c>
      <c r="AZ41" s="609" t="str">
        <f t="shared" si="7"/>
        <v/>
      </c>
      <c r="BA41" s="609" t="str">
        <f t="shared" si="7"/>
        <v/>
      </c>
      <c r="BB41" s="609" t="str">
        <f t="shared" si="7"/>
        <v/>
      </c>
      <c r="BC41" s="609" t="str">
        <f t="shared" si="7"/>
        <v/>
      </c>
      <c r="BD41" s="609" t="str">
        <f t="shared" si="7"/>
        <v/>
      </c>
      <c r="BE41" s="609" t="str">
        <f t="shared" si="7"/>
        <v/>
      </c>
      <c r="BF41" s="609" t="str">
        <f t="shared" si="7"/>
        <v/>
      </c>
      <c r="BG41" s="609" t="str">
        <f t="shared" si="7"/>
        <v/>
      </c>
    </row>
    <row r="42" spans="2:59" x14ac:dyDescent="0.25">
      <c r="B42" s="654">
        <v>36</v>
      </c>
      <c r="C42" s="654"/>
      <c r="D42" s="654"/>
      <c r="E42" s="655"/>
      <c r="F42" s="654"/>
      <c r="H42" s="609" t="str">
        <f t="shared" si="1"/>
        <v/>
      </c>
      <c r="I42" s="609" t="str">
        <f t="shared" si="7"/>
        <v/>
      </c>
      <c r="J42" s="609" t="str">
        <f t="shared" si="7"/>
        <v/>
      </c>
      <c r="K42" s="609" t="str">
        <f t="shared" si="7"/>
        <v/>
      </c>
      <c r="L42" s="609" t="str">
        <f t="shared" si="7"/>
        <v/>
      </c>
      <c r="M42" s="609" t="str">
        <f t="shared" si="7"/>
        <v/>
      </c>
      <c r="N42" s="609" t="str">
        <f t="shared" si="7"/>
        <v/>
      </c>
      <c r="O42" s="609" t="str">
        <f t="shared" si="7"/>
        <v/>
      </c>
      <c r="P42" s="609" t="str">
        <f t="shared" si="7"/>
        <v/>
      </c>
      <c r="Q42" s="609" t="str">
        <f t="shared" si="7"/>
        <v/>
      </c>
      <c r="R42" s="609" t="str">
        <f t="shared" si="7"/>
        <v/>
      </c>
      <c r="S42" s="609" t="str">
        <f t="shared" si="7"/>
        <v/>
      </c>
      <c r="T42" s="609" t="str">
        <f t="shared" si="7"/>
        <v/>
      </c>
      <c r="U42" s="609" t="str">
        <f t="shared" si="7"/>
        <v/>
      </c>
      <c r="V42" s="609" t="str">
        <f t="shared" si="7"/>
        <v/>
      </c>
      <c r="W42" s="609" t="str">
        <f t="shared" si="7"/>
        <v/>
      </c>
      <c r="X42" s="609" t="str">
        <f t="shared" ref="I42:BG47" si="8">IF($D42=X$6,$B42&amp;", ","")</f>
        <v/>
      </c>
      <c r="Y42" s="609" t="str">
        <f t="shared" si="8"/>
        <v/>
      </c>
      <c r="Z42" s="609" t="str">
        <f t="shared" si="8"/>
        <v/>
      </c>
      <c r="AA42" s="609" t="str">
        <f t="shared" si="8"/>
        <v/>
      </c>
      <c r="AB42" s="609" t="str">
        <f t="shared" si="8"/>
        <v/>
      </c>
      <c r="AC42" s="609" t="str">
        <f t="shared" si="8"/>
        <v/>
      </c>
      <c r="AD42" s="609" t="str">
        <f t="shared" si="8"/>
        <v/>
      </c>
      <c r="AE42" s="609" t="str">
        <f t="shared" si="8"/>
        <v/>
      </c>
      <c r="AF42" s="609" t="str">
        <f t="shared" si="8"/>
        <v/>
      </c>
      <c r="AG42" s="609" t="str">
        <f t="shared" si="8"/>
        <v/>
      </c>
      <c r="AH42" s="609" t="str">
        <f t="shared" si="8"/>
        <v/>
      </c>
      <c r="AI42" s="609" t="str">
        <f t="shared" si="8"/>
        <v/>
      </c>
      <c r="AJ42" s="609" t="str">
        <f t="shared" si="8"/>
        <v/>
      </c>
      <c r="AK42" s="609" t="str">
        <f t="shared" si="8"/>
        <v/>
      </c>
      <c r="AL42" s="609" t="str">
        <f t="shared" si="8"/>
        <v/>
      </c>
      <c r="AM42" s="609" t="str">
        <f t="shared" si="8"/>
        <v/>
      </c>
      <c r="AN42" s="609" t="str">
        <f t="shared" si="8"/>
        <v/>
      </c>
      <c r="AO42" s="609" t="str">
        <f t="shared" si="8"/>
        <v/>
      </c>
      <c r="AP42" s="609" t="str">
        <f t="shared" si="8"/>
        <v/>
      </c>
      <c r="AQ42" s="609" t="str">
        <f t="shared" si="8"/>
        <v/>
      </c>
      <c r="AR42" s="609" t="str">
        <f t="shared" si="8"/>
        <v/>
      </c>
      <c r="AS42" s="609" t="str">
        <f t="shared" si="8"/>
        <v/>
      </c>
      <c r="AT42" s="609" t="str">
        <f t="shared" si="8"/>
        <v/>
      </c>
      <c r="AU42" s="609" t="str">
        <f t="shared" si="8"/>
        <v/>
      </c>
      <c r="AV42" s="609" t="str">
        <f t="shared" si="8"/>
        <v/>
      </c>
      <c r="AW42" s="609" t="str">
        <f t="shared" si="8"/>
        <v/>
      </c>
      <c r="AX42" s="609" t="str">
        <f t="shared" si="8"/>
        <v/>
      </c>
      <c r="AY42" s="609" t="str">
        <f t="shared" si="8"/>
        <v/>
      </c>
      <c r="AZ42" s="609" t="str">
        <f t="shared" si="8"/>
        <v/>
      </c>
      <c r="BA42" s="609" t="str">
        <f t="shared" si="8"/>
        <v/>
      </c>
      <c r="BB42" s="609" t="str">
        <f t="shared" si="8"/>
        <v/>
      </c>
      <c r="BC42" s="609" t="str">
        <f t="shared" si="8"/>
        <v/>
      </c>
      <c r="BD42" s="609" t="str">
        <f t="shared" si="8"/>
        <v/>
      </c>
      <c r="BE42" s="609" t="str">
        <f t="shared" si="8"/>
        <v/>
      </c>
      <c r="BF42" s="609" t="str">
        <f t="shared" si="8"/>
        <v/>
      </c>
      <c r="BG42" s="609" t="str">
        <f t="shared" si="8"/>
        <v/>
      </c>
    </row>
    <row r="43" spans="2:59" x14ac:dyDescent="0.25">
      <c r="B43" s="654">
        <v>37</v>
      </c>
      <c r="C43" s="654"/>
      <c r="D43" s="654"/>
      <c r="E43" s="655"/>
      <c r="F43" s="654"/>
      <c r="H43" s="609" t="str">
        <f t="shared" si="1"/>
        <v/>
      </c>
      <c r="I43" s="609" t="str">
        <f t="shared" si="8"/>
        <v/>
      </c>
      <c r="J43" s="609" t="str">
        <f t="shared" si="8"/>
        <v/>
      </c>
      <c r="K43" s="609" t="str">
        <f t="shared" si="8"/>
        <v/>
      </c>
      <c r="L43" s="609" t="str">
        <f t="shared" si="8"/>
        <v/>
      </c>
      <c r="M43" s="609" t="str">
        <f t="shared" si="8"/>
        <v/>
      </c>
      <c r="N43" s="609" t="str">
        <f t="shared" si="8"/>
        <v/>
      </c>
      <c r="O43" s="609" t="str">
        <f t="shared" si="8"/>
        <v/>
      </c>
      <c r="P43" s="609" t="str">
        <f t="shared" si="8"/>
        <v/>
      </c>
      <c r="Q43" s="609" t="str">
        <f t="shared" si="8"/>
        <v/>
      </c>
      <c r="R43" s="609" t="str">
        <f t="shared" si="8"/>
        <v/>
      </c>
      <c r="S43" s="609" t="str">
        <f t="shared" si="8"/>
        <v/>
      </c>
      <c r="T43" s="609" t="str">
        <f t="shared" si="8"/>
        <v/>
      </c>
      <c r="U43" s="609" t="str">
        <f t="shared" si="8"/>
        <v/>
      </c>
      <c r="V43" s="609" t="str">
        <f t="shared" si="8"/>
        <v/>
      </c>
      <c r="W43" s="609" t="str">
        <f t="shared" si="8"/>
        <v/>
      </c>
      <c r="X43" s="609" t="str">
        <f t="shared" si="8"/>
        <v/>
      </c>
      <c r="Y43" s="609" t="str">
        <f t="shared" si="8"/>
        <v/>
      </c>
      <c r="Z43" s="609" t="str">
        <f t="shared" si="8"/>
        <v/>
      </c>
      <c r="AA43" s="609" t="str">
        <f t="shared" si="8"/>
        <v/>
      </c>
      <c r="AB43" s="609" t="str">
        <f t="shared" si="8"/>
        <v/>
      </c>
      <c r="AC43" s="609" t="str">
        <f t="shared" si="8"/>
        <v/>
      </c>
      <c r="AD43" s="609" t="str">
        <f t="shared" si="8"/>
        <v/>
      </c>
      <c r="AE43" s="609" t="str">
        <f t="shared" si="8"/>
        <v/>
      </c>
      <c r="AF43" s="609" t="str">
        <f t="shared" si="8"/>
        <v/>
      </c>
      <c r="AG43" s="609" t="str">
        <f t="shared" si="8"/>
        <v/>
      </c>
      <c r="AH43" s="609" t="str">
        <f t="shared" si="8"/>
        <v/>
      </c>
      <c r="AI43" s="609" t="str">
        <f t="shared" si="8"/>
        <v/>
      </c>
      <c r="AJ43" s="609" t="str">
        <f t="shared" si="8"/>
        <v/>
      </c>
      <c r="AK43" s="609" t="str">
        <f t="shared" si="8"/>
        <v/>
      </c>
      <c r="AL43" s="609" t="str">
        <f t="shared" si="8"/>
        <v/>
      </c>
      <c r="AM43" s="609" t="str">
        <f t="shared" si="8"/>
        <v/>
      </c>
      <c r="AN43" s="609" t="str">
        <f t="shared" si="8"/>
        <v/>
      </c>
      <c r="AO43" s="609" t="str">
        <f t="shared" si="8"/>
        <v/>
      </c>
      <c r="AP43" s="609" t="str">
        <f t="shared" si="8"/>
        <v/>
      </c>
      <c r="AQ43" s="609" t="str">
        <f t="shared" si="8"/>
        <v/>
      </c>
      <c r="AR43" s="609" t="str">
        <f t="shared" si="8"/>
        <v/>
      </c>
      <c r="AS43" s="609" t="str">
        <f t="shared" si="8"/>
        <v/>
      </c>
      <c r="AT43" s="609" t="str">
        <f t="shared" si="8"/>
        <v/>
      </c>
      <c r="AU43" s="609" t="str">
        <f t="shared" si="8"/>
        <v/>
      </c>
      <c r="AV43" s="609" t="str">
        <f t="shared" si="8"/>
        <v/>
      </c>
      <c r="AW43" s="609" t="str">
        <f t="shared" si="8"/>
        <v/>
      </c>
      <c r="AX43" s="609" t="str">
        <f t="shared" si="8"/>
        <v/>
      </c>
      <c r="AY43" s="609" t="str">
        <f t="shared" si="8"/>
        <v/>
      </c>
      <c r="AZ43" s="609" t="str">
        <f t="shared" si="8"/>
        <v/>
      </c>
      <c r="BA43" s="609" t="str">
        <f t="shared" si="8"/>
        <v/>
      </c>
      <c r="BB43" s="609" t="str">
        <f t="shared" si="8"/>
        <v/>
      </c>
      <c r="BC43" s="609" t="str">
        <f t="shared" si="8"/>
        <v/>
      </c>
      <c r="BD43" s="609" t="str">
        <f t="shared" si="8"/>
        <v/>
      </c>
      <c r="BE43" s="609" t="str">
        <f t="shared" si="8"/>
        <v/>
      </c>
      <c r="BF43" s="609" t="str">
        <f t="shared" si="8"/>
        <v/>
      </c>
      <c r="BG43" s="609" t="str">
        <f t="shared" si="8"/>
        <v/>
      </c>
    </row>
    <row r="44" spans="2:59" x14ac:dyDescent="0.25">
      <c r="B44" s="654">
        <v>38</v>
      </c>
      <c r="C44" s="654"/>
      <c r="D44" s="654"/>
      <c r="E44" s="655"/>
      <c r="F44" s="654"/>
      <c r="H44" s="609" t="str">
        <f t="shared" si="1"/>
        <v/>
      </c>
      <c r="I44" s="609" t="str">
        <f t="shared" si="8"/>
        <v/>
      </c>
      <c r="J44" s="609" t="str">
        <f t="shared" si="8"/>
        <v/>
      </c>
      <c r="K44" s="609" t="str">
        <f t="shared" si="8"/>
        <v/>
      </c>
      <c r="L44" s="609" t="str">
        <f t="shared" si="8"/>
        <v/>
      </c>
      <c r="M44" s="609" t="str">
        <f t="shared" si="8"/>
        <v/>
      </c>
      <c r="N44" s="609" t="str">
        <f t="shared" si="8"/>
        <v/>
      </c>
      <c r="O44" s="609" t="str">
        <f t="shared" si="8"/>
        <v/>
      </c>
      <c r="P44" s="609" t="str">
        <f t="shared" si="8"/>
        <v/>
      </c>
      <c r="Q44" s="609" t="str">
        <f t="shared" si="8"/>
        <v/>
      </c>
      <c r="R44" s="609" t="str">
        <f t="shared" si="8"/>
        <v/>
      </c>
      <c r="S44" s="609" t="str">
        <f t="shared" si="8"/>
        <v/>
      </c>
      <c r="T44" s="609" t="str">
        <f t="shared" si="8"/>
        <v/>
      </c>
      <c r="U44" s="609" t="str">
        <f t="shared" si="8"/>
        <v/>
      </c>
      <c r="V44" s="609" t="str">
        <f t="shared" si="8"/>
        <v/>
      </c>
      <c r="W44" s="609" t="str">
        <f t="shared" si="8"/>
        <v/>
      </c>
      <c r="X44" s="609" t="str">
        <f t="shared" si="8"/>
        <v/>
      </c>
      <c r="Y44" s="609" t="str">
        <f t="shared" si="8"/>
        <v/>
      </c>
      <c r="Z44" s="609" t="str">
        <f t="shared" si="8"/>
        <v/>
      </c>
      <c r="AA44" s="609" t="str">
        <f t="shared" si="8"/>
        <v/>
      </c>
      <c r="AB44" s="609" t="str">
        <f t="shared" si="8"/>
        <v/>
      </c>
      <c r="AC44" s="609" t="str">
        <f t="shared" si="8"/>
        <v/>
      </c>
      <c r="AD44" s="609" t="str">
        <f t="shared" si="8"/>
        <v/>
      </c>
      <c r="AE44" s="609" t="str">
        <f t="shared" si="8"/>
        <v/>
      </c>
      <c r="AF44" s="609" t="str">
        <f t="shared" si="8"/>
        <v/>
      </c>
      <c r="AG44" s="609" t="str">
        <f t="shared" si="8"/>
        <v/>
      </c>
      <c r="AH44" s="609" t="str">
        <f t="shared" si="8"/>
        <v/>
      </c>
      <c r="AI44" s="609" t="str">
        <f t="shared" si="8"/>
        <v/>
      </c>
      <c r="AJ44" s="609" t="str">
        <f t="shared" si="8"/>
        <v/>
      </c>
      <c r="AK44" s="609" t="str">
        <f t="shared" si="8"/>
        <v/>
      </c>
      <c r="AL44" s="609" t="str">
        <f t="shared" si="8"/>
        <v/>
      </c>
      <c r="AM44" s="609" t="str">
        <f t="shared" si="8"/>
        <v/>
      </c>
      <c r="AN44" s="609" t="str">
        <f t="shared" si="8"/>
        <v/>
      </c>
      <c r="AO44" s="609" t="str">
        <f t="shared" si="8"/>
        <v/>
      </c>
      <c r="AP44" s="609" t="str">
        <f t="shared" si="8"/>
        <v/>
      </c>
      <c r="AQ44" s="609" t="str">
        <f t="shared" si="8"/>
        <v/>
      </c>
      <c r="AR44" s="609" t="str">
        <f t="shared" si="8"/>
        <v/>
      </c>
      <c r="AS44" s="609" t="str">
        <f t="shared" si="8"/>
        <v/>
      </c>
      <c r="AT44" s="609" t="str">
        <f t="shared" si="8"/>
        <v/>
      </c>
      <c r="AU44" s="609" t="str">
        <f t="shared" si="8"/>
        <v/>
      </c>
      <c r="AV44" s="609" t="str">
        <f t="shared" si="8"/>
        <v/>
      </c>
      <c r="AW44" s="609" t="str">
        <f t="shared" si="8"/>
        <v/>
      </c>
      <c r="AX44" s="609" t="str">
        <f t="shared" si="8"/>
        <v/>
      </c>
      <c r="AY44" s="609" t="str">
        <f t="shared" si="8"/>
        <v/>
      </c>
      <c r="AZ44" s="609" t="str">
        <f t="shared" si="8"/>
        <v/>
      </c>
      <c r="BA44" s="609" t="str">
        <f t="shared" si="8"/>
        <v/>
      </c>
      <c r="BB44" s="609" t="str">
        <f t="shared" si="8"/>
        <v/>
      </c>
      <c r="BC44" s="609" t="str">
        <f t="shared" si="8"/>
        <v/>
      </c>
      <c r="BD44" s="609" t="str">
        <f t="shared" si="8"/>
        <v/>
      </c>
      <c r="BE44" s="609" t="str">
        <f t="shared" si="8"/>
        <v/>
      </c>
      <c r="BF44" s="609" t="str">
        <f t="shared" si="8"/>
        <v/>
      </c>
      <c r="BG44" s="609" t="str">
        <f t="shared" si="8"/>
        <v/>
      </c>
    </row>
    <row r="45" spans="2:59" x14ac:dyDescent="0.25">
      <c r="B45" s="654">
        <v>39</v>
      </c>
      <c r="C45" s="654"/>
      <c r="D45" s="654"/>
      <c r="E45" s="655"/>
      <c r="F45" s="654"/>
      <c r="H45" s="609" t="str">
        <f t="shared" si="1"/>
        <v/>
      </c>
      <c r="I45" s="609" t="str">
        <f t="shared" si="8"/>
        <v/>
      </c>
      <c r="J45" s="609" t="str">
        <f t="shared" si="8"/>
        <v/>
      </c>
      <c r="K45" s="609" t="str">
        <f t="shared" si="8"/>
        <v/>
      </c>
      <c r="L45" s="609" t="str">
        <f t="shared" si="8"/>
        <v/>
      </c>
      <c r="M45" s="609" t="str">
        <f t="shared" si="8"/>
        <v/>
      </c>
      <c r="N45" s="609" t="str">
        <f t="shared" si="8"/>
        <v/>
      </c>
      <c r="O45" s="609" t="str">
        <f t="shared" si="8"/>
        <v/>
      </c>
      <c r="P45" s="609" t="str">
        <f t="shared" si="8"/>
        <v/>
      </c>
      <c r="Q45" s="609" t="str">
        <f t="shared" si="8"/>
        <v/>
      </c>
      <c r="R45" s="609" t="str">
        <f t="shared" si="8"/>
        <v/>
      </c>
      <c r="S45" s="609" t="str">
        <f t="shared" si="8"/>
        <v/>
      </c>
      <c r="T45" s="609" t="str">
        <f t="shared" si="8"/>
        <v/>
      </c>
      <c r="U45" s="609" t="str">
        <f t="shared" si="8"/>
        <v/>
      </c>
      <c r="V45" s="609" t="str">
        <f t="shared" si="8"/>
        <v/>
      </c>
      <c r="W45" s="609" t="str">
        <f t="shared" si="8"/>
        <v/>
      </c>
      <c r="X45" s="609" t="str">
        <f t="shared" si="8"/>
        <v/>
      </c>
      <c r="Y45" s="609" t="str">
        <f t="shared" si="8"/>
        <v/>
      </c>
      <c r="Z45" s="609" t="str">
        <f t="shared" si="8"/>
        <v/>
      </c>
      <c r="AA45" s="609" t="str">
        <f t="shared" si="8"/>
        <v/>
      </c>
      <c r="AB45" s="609" t="str">
        <f t="shared" si="8"/>
        <v/>
      </c>
      <c r="AC45" s="609" t="str">
        <f t="shared" si="8"/>
        <v/>
      </c>
      <c r="AD45" s="609" t="str">
        <f t="shared" si="8"/>
        <v/>
      </c>
      <c r="AE45" s="609" t="str">
        <f t="shared" si="8"/>
        <v/>
      </c>
      <c r="AF45" s="609" t="str">
        <f t="shared" si="8"/>
        <v/>
      </c>
      <c r="AG45" s="609" t="str">
        <f t="shared" si="8"/>
        <v/>
      </c>
      <c r="AH45" s="609" t="str">
        <f t="shared" si="8"/>
        <v/>
      </c>
      <c r="AI45" s="609" t="str">
        <f t="shared" si="8"/>
        <v/>
      </c>
      <c r="AJ45" s="609" t="str">
        <f t="shared" si="8"/>
        <v/>
      </c>
      <c r="AK45" s="609" t="str">
        <f t="shared" si="8"/>
        <v/>
      </c>
      <c r="AL45" s="609" t="str">
        <f t="shared" si="8"/>
        <v/>
      </c>
      <c r="AM45" s="609" t="str">
        <f t="shared" si="8"/>
        <v/>
      </c>
      <c r="AN45" s="609" t="str">
        <f t="shared" si="8"/>
        <v/>
      </c>
      <c r="AO45" s="609" t="str">
        <f t="shared" si="8"/>
        <v/>
      </c>
      <c r="AP45" s="609" t="str">
        <f t="shared" si="8"/>
        <v/>
      </c>
      <c r="AQ45" s="609" t="str">
        <f t="shared" si="8"/>
        <v/>
      </c>
      <c r="AR45" s="609" t="str">
        <f t="shared" si="8"/>
        <v/>
      </c>
      <c r="AS45" s="609" t="str">
        <f t="shared" si="8"/>
        <v/>
      </c>
      <c r="AT45" s="609" t="str">
        <f t="shared" si="8"/>
        <v/>
      </c>
      <c r="AU45" s="609" t="str">
        <f t="shared" si="8"/>
        <v/>
      </c>
      <c r="AV45" s="609" t="str">
        <f t="shared" si="8"/>
        <v/>
      </c>
      <c r="AW45" s="609" t="str">
        <f t="shared" si="8"/>
        <v/>
      </c>
      <c r="AX45" s="609" t="str">
        <f t="shared" si="8"/>
        <v/>
      </c>
      <c r="AY45" s="609" t="str">
        <f t="shared" si="8"/>
        <v/>
      </c>
      <c r="AZ45" s="609" t="str">
        <f t="shared" si="8"/>
        <v/>
      </c>
      <c r="BA45" s="609" t="str">
        <f t="shared" si="8"/>
        <v/>
      </c>
      <c r="BB45" s="609" t="str">
        <f t="shared" si="8"/>
        <v/>
      </c>
      <c r="BC45" s="609" t="str">
        <f t="shared" si="8"/>
        <v/>
      </c>
      <c r="BD45" s="609" t="str">
        <f t="shared" si="8"/>
        <v/>
      </c>
      <c r="BE45" s="609" t="str">
        <f t="shared" si="8"/>
        <v/>
      </c>
      <c r="BF45" s="609" t="str">
        <f t="shared" si="8"/>
        <v/>
      </c>
      <c r="BG45" s="609" t="str">
        <f t="shared" si="8"/>
        <v/>
      </c>
    </row>
    <row r="46" spans="2:59" x14ac:dyDescent="0.25">
      <c r="B46" s="654">
        <v>40</v>
      </c>
      <c r="C46" s="654"/>
      <c r="D46" s="654"/>
      <c r="E46" s="655"/>
      <c r="F46" s="654"/>
      <c r="H46" s="609" t="str">
        <f t="shared" si="1"/>
        <v/>
      </c>
      <c r="I46" s="609" t="str">
        <f t="shared" si="8"/>
        <v/>
      </c>
      <c r="J46" s="609" t="str">
        <f t="shared" si="8"/>
        <v/>
      </c>
      <c r="K46" s="609" t="str">
        <f t="shared" si="8"/>
        <v/>
      </c>
      <c r="L46" s="609" t="str">
        <f t="shared" si="8"/>
        <v/>
      </c>
      <c r="M46" s="609" t="str">
        <f t="shared" si="8"/>
        <v/>
      </c>
      <c r="N46" s="609" t="str">
        <f t="shared" si="8"/>
        <v/>
      </c>
      <c r="O46" s="609" t="str">
        <f t="shared" si="8"/>
        <v/>
      </c>
      <c r="P46" s="609" t="str">
        <f t="shared" si="8"/>
        <v/>
      </c>
      <c r="Q46" s="609" t="str">
        <f t="shared" si="8"/>
        <v/>
      </c>
      <c r="R46" s="609" t="str">
        <f t="shared" si="8"/>
        <v/>
      </c>
      <c r="S46" s="609" t="str">
        <f t="shared" si="8"/>
        <v/>
      </c>
      <c r="T46" s="609" t="str">
        <f t="shared" si="8"/>
        <v/>
      </c>
      <c r="U46" s="609" t="str">
        <f t="shared" si="8"/>
        <v/>
      </c>
      <c r="V46" s="609" t="str">
        <f t="shared" si="8"/>
        <v/>
      </c>
      <c r="W46" s="609" t="str">
        <f t="shared" si="8"/>
        <v/>
      </c>
      <c r="X46" s="609" t="str">
        <f t="shared" si="8"/>
        <v/>
      </c>
      <c r="Y46" s="609" t="str">
        <f t="shared" si="8"/>
        <v/>
      </c>
      <c r="Z46" s="609" t="str">
        <f t="shared" si="8"/>
        <v/>
      </c>
      <c r="AA46" s="609" t="str">
        <f t="shared" si="8"/>
        <v/>
      </c>
      <c r="AB46" s="609" t="str">
        <f t="shared" si="8"/>
        <v/>
      </c>
      <c r="AC46" s="609" t="str">
        <f t="shared" si="8"/>
        <v/>
      </c>
      <c r="AD46" s="609" t="str">
        <f t="shared" si="8"/>
        <v/>
      </c>
      <c r="AE46" s="609" t="str">
        <f t="shared" si="8"/>
        <v/>
      </c>
      <c r="AF46" s="609" t="str">
        <f t="shared" si="8"/>
        <v/>
      </c>
      <c r="AG46" s="609" t="str">
        <f t="shared" si="8"/>
        <v/>
      </c>
      <c r="AH46" s="609" t="str">
        <f t="shared" si="8"/>
        <v/>
      </c>
      <c r="AI46" s="609" t="str">
        <f t="shared" si="8"/>
        <v/>
      </c>
      <c r="AJ46" s="609" t="str">
        <f t="shared" si="8"/>
        <v/>
      </c>
      <c r="AK46" s="609" t="str">
        <f t="shared" si="8"/>
        <v/>
      </c>
      <c r="AL46" s="609" t="str">
        <f t="shared" si="8"/>
        <v/>
      </c>
      <c r="AM46" s="609" t="str">
        <f t="shared" si="8"/>
        <v/>
      </c>
      <c r="AN46" s="609" t="str">
        <f t="shared" si="8"/>
        <v/>
      </c>
      <c r="AO46" s="609" t="str">
        <f t="shared" si="8"/>
        <v/>
      </c>
      <c r="AP46" s="609" t="str">
        <f t="shared" si="8"/>
        <v/>
      </c>
      <c r="AQ46" s="609" t="str">
        <f t="shared" si="8"/>
        <v/>
      </c>
      <c r="AR46" s="609" t="str">
        <f t="shared" si="8"/>
        <v/>
      </c>
      <c r="AS46" s="609" t="str">
        <f t="shared" si="8"/>
        <v/>
      </c>
      <c r="AT46" s="609" t="str">
        <f t="shared" si="8"/>
        <v/>
      </c>
      <c r="AU46" s="609" t="str">
        <f t="shared" si="8"/>
        <v/>
      </c>
      <c r="AV46" s="609" t="str">
        <f t="shared" si="8"/>
        <v/>
      </c>
      <c r="AW46" s="609" t="str">
        <f t="shared" si="8"/>
        <v/>
      </c>
      <c r="AX46" s="609" t="str">
        <f t="shared" si="8"/>
        <v/>
      </c>
      <c r="AY46" s="609" t="str">
        <f t="shared" si="8"/>
        <v/>
      </c>
      <c r="AZ46" s="609" t="str">
        <f t="shared" si="8"/>
        <v/>
      </c>
      <c r="BA46" s="609" t="str">
        <f t="shared" si="8"/>
        <v/>
      </c>
      <c r="BB46" s="609" t="str">
        <f t="shared" si="8"/>
        <v/>
      </c>
      <c r="BC46" s="609" t="str">
        <f t="shared" si="8"/>
        <v/>
      </c>
      <c r="BD46" s="609" t="str">
        <f t="shared" si="8"/>
        <v/>
      </c>
      <c r="BE46" s="609" t="str">
        <f t="shared" si="8"/>
        <v/>
      </c>
      <c r="BF46" s="609" t="str">
        <f t="shared" si="8"/>
        <v/>
      </c>
      <c r="BG46" s="609" t="str">
        <f t="shared" si="8"/>
        <v/>
      </c>
    </row>
    <row r="47" spans="2:59" x14ac:dyDescent="0.25">
      <c r="B47" s="654">
        <v>41</v>
      </c>
      <c r="C47" s="654"/>
      <c r="D47" s="654"/>
      <c r="E47" s="655"/>
      <c r="F47" s="654"/>
      <c r="H47" s="609" t="str">
        <f t="shared" si="1"/>
        <v/>
      </c>
      <c r="I47" s="609" t="str">
        <f t="shared" si="8"/>
        <v/>
      </c>
      <c r="J47" s="609" t="str">
        <f t="shared" si="8"/>
        <v/>
      </c>
      <c r="K47" s="609" t="str">
        <f t="shared" si="8"/>
        <v/>
      </c>
      <c r="L47" s="609" t="str">
        <f t="shared" si="8"/>
        <v/>
      </c>
      <c r="M47" s="609" t="str">
        <f t="shared" si="8"/>
        <v/>
      </c>
      <c r="N47" s="609" t="str">
        <f t="shared" si="8"/>
        <v/>
      </c>
      <c r="O47" s="609" t="str">
        <f t="shared" si="8"/>
        <v/>
      </c>
      <c r="P47" s="609" t="str">
        <f t="shared" si="8"/>
        <v/>
      </c>
      <c r="Q47" s="609" t="str">
        <f t="shared" si="8"/>
        <v/>
      </c>
      <c r="R47" s="609" t="str">
        <f t="shared" si="8"/>
        <v/>
      </c>
      <c r="S47" s="609" t="str">
        <f t="shared" si="8"/>
        <v/>
      </c>
      <c r="T47" s="609" t="str">
        <f t="shared" si="8"/>
        <v/>
      </c>
      <c r="U47" s="609" t="str">
        <f t="shared" si="8"/>
        <v/>
      </c>
      <c r="V47" s="609" t="str">
        <f t="shared" si="8"/>
        <v/>
      </c>
      <c r="W47" s="609" t="str">
        <f t="shared" si="8"/>
        <v/>
      </c>
      <c r="X47" s="609" t="str">
        <f t="shared" ref="I47:BG52" si="9">IF($D47=X$6,$B47&amp;", ","")</f>
        <v/>
      </c>
      <c r="Y47" s="609" t="str">
        <f t="shared" si="9"/>
        <v/>
      </c>
      <c r="Z47" s="609" t="str">
        <f t="shared" si="9"/>
        <v/>
      </c>
      <c r="AA47" s="609" t="str">
        <f t="shared" si="9"/>
        <v/>
      </c>
      <c r="AB47" s="609" t="str">
        <f t="shared" si="9"/>
        <v/>
      </c>
      <c r="AC47" s="609" t="str">
        <f t="shared" si="9"/>
        <v/>
      </c>
      <c r="AD47" s="609" t="str">
        <f t="shared" si="9"/>
        <v/>
      </c>
      <c r="AE47" s="609" t="str">
        <f t="shared" si="9"/>
        <v/>
      </c>
      <c r="AF47" s="609" t="str">
        <f t="shared" si="9"/>
        <v/>
      </c>
      <c r="AG47" s="609" t="str">
        <f t="shared" si="9"/>
        <v/>
      </c>
      <c r="AH47" s="609" t="str">
        <f t="shared" si="9"/>
        <v/>
      </c>
      <c r="AI47" s="609" t="str">
        <f t="shared" si="9"/>
        <v/>
      </c>
      <c r="AJ47" s="609" t="str">
        <f t="shared" si="9"/>
        <v/>
      </c>
      <c r="AK47" s="609" t="str">
        <f t="shared" si="9"/>
        <v/>
      </c>
      <c r="AL47" s="609" t="str">
        <f t="shared" si="9"/>
        <v/>
      </c>
      <c r="AM47" s="609" t="str">
        <f t="shared" si="9"/>
        <v/>
      </c>
      <c r="AN47" s="609" t="str">
        <f t="shared" si="9"/>
        <v/>
      </c>
      <c r="AO47" s="609" t="str">
        <f t="shared" si="9"/>
        <v/>
      </c>
      <c r="AP47" s="609" t="str">
        <f t="shared" si="9"/>
        <v/>
      </c>
      <c r="AQ47" s="609" t="str">
        <f t="shared" si="9"/>
        <v/>
      </c>
      <c r="AR47" s="609" t="str">
        <f t="shared" si="9"/>
        <v/>
      </c>
      <c r="AS47" s="609" t="str">
        <f t="shared" si="9"/>
        <v/>
      </c>
      <c r="AT47" s="609" t="str">
        <f t="shared" si="9"/>
        <v/>
      </c>
      <c r="AU47" s="609" t="str">
        <f t="shared" si="9"/>
        <v/>
      </c>
      <c r="AV47" s="609" t="str">
        <f t="shared" si="9"/>
        <v/>
      </c>
      <c r="AW47" s="609" t="str">
        <f t="shared" si="9"/>
        <v/>
      </c>
      <c r="AX47" s="609" t="str">
        <f t="shared" si="9"/>
        <v/>
      </c>
      <c r="AY47" s="609" t="str">
        <f t="shared" si="9"/>
        <v/>
      </c>
      <c r="AZ47" s="609" t="str">
        <f t="shared" si="9"/>
        <v/>
      </c>
      <c r="BA47" s="609" t="str">
        <f t="shared" si="9"/>
        <v/>
      </c>
      <c r="BB47" s="609" t="str">
        <f t="shared" si="9"/>
        <v/>
      </c>
      <c r="BC47" s="609" t="str">
        <f t="shared" si="9"/>
        <v/>
      </c>
      <c r="BD47" s="609" t="str">
        <f t="shared" si="9"/>
        <v/>
      </c>
      <c r="BE47" s="609" t="str">
        <f t="shared" si="9"/>
        <v/>
      </c>
      <c r="BF47" s="609" t="str">
        <f t="shared" si="9"/>
        <v/>
      </c>
      <c r="BG47" s="609" t="str">
        <f t="shared" si="9"/>
        <v/>
      </c>
    </row>
    <row r="48" spans="2:59" x14ac:dyDescent="0.25">
      <c r="B48" s="654">
        <v>42</v>
      </c>
      <c r="C48" s="654"/>
      <c r="D48" s="654"/>
      <c r="E48" s="655"/>
      <c r="F48" s="654"/>
      <c r="H48" s="609" t="str">
        <f t="shared" si="1"/>
        <v/>
      </c>
      <c r="I48" s="609" t="str">
        <f t="shared" si="9"/>
        <v/>
      </c>
      <c r="J48" s="609" t="str">
        <f t="shared" si="9"/>
        <v/>
      </c>
      <c r="K48" s="609" t="str">
        <f t="shared" si="9"/>
        <v/>
      </c>
      <c r="L48" s="609" t="str">
        <f t="shared" si="9"/>
        <v/>
      </c>
      <c r="M48" s="609" t="str">
        <f t="shared" si="9"/>
        <v/>
      </c>
      <c r="N48" s="609" t="str">
        <f t="shared" si="9"/>
        <v/>
      </c>
      <c r="O48" s="609" t="str">
        <f t="shared" si="9"/>
        <v/>
      </c>
      <c r="P48" s="609" t="str">
        <f t="shared" si="9"/>
        <v/>
      </c>
      <c r="Q48" s="609" t="str">
        <f t="shared" si="9"/>
        <v/>
      </c>
      <c r="R48" s="609" t="str">
        <f t="shared" si="9"/>
        <v/>
      </c>
      <c r="S48" s="609" t="str">
        <f t="shared" si="9"/>
        <v/>
      </c>
      <c r="T48" s="609" t="str">
        <f t="shared" si="9"/>
        <v/>
      </c>
      <c r="U48" s="609" t="str">
        <f t="shared" si="9"/>
        <v/>
      </c>
      <c r="V48" s="609" t="str">
        <f t="shared" si="9"/>
        <v/>
      </c>
      <c r="W48" s="609" t="str">
        <f t="shared" si="9"/>
        <v/>
      </c>
      <c r="X48" s="609" t="str">
        <f t="shared" si="9"/>
        <v/>
      </c>
      <c r="Y48" s="609" t="str">
        <f t="shared" si="9"/>
        <v/>
      </c>
      <c r="Z48" s="609" t="str">
        <f t="shared" si="9"/>
        <v/>
      </c>
      <c r="AA48" s="609" t="str">
        <f t="shared" si="9"/>
        <v/>
      </c>
      <c r="AB48" s="609" t="str">
        <f t="shared" si="9"/>
        <v/>
      </c>
      <c r="AC48" s="609" t="str">
        <f t="shared" si="9"/>
        <v/>
      </c>
      <c r="AD48" s="609" t="str">
        <f t="shared" si="9"/>
        <v/>
      </c>
      <c r="AE48" s="609" t="str">
        <f t="shared" si="9"/>
        <v/>
      </c>
      <c r="AF48" s="609" t="str">
        <f t="shared" si="9"/>
        <v/>
      </c>
      <c r="AG48" s="609" t="str">
        <f t="shared" si="9"/>
        <v/>
      </c>
      <c r="AH48" s="609" t="str">
        <f t="shared" si="9"/>
        <v/>
      </c>
      <c r="AI48" s="609" t="str">
        <f t="shared" si="9"/>
        <v/>
      </c>
      <c r="AJ48" s="609" t="str">
        <f t="shared" si="9"/>
        <v/>
      </c>
      <c r="AK48" s="609" t="str">
        <f t="shared" si="9"/>
        <v/>
      </c>
      <c r="AL48" s="609" t="str">
        <f t="shared" si="9"/>
        <v/>
      </c>
      <c r="AM48" s="609" t="str">
        <f t="shared" si="9"/>
        <v/>
      </c>
      <c r="AN48" s="609" t="str">
        <f t="shared" si="9"/>
        <v/>
      </c>
      <c r="AO48" s="609" t="str">
        <f t="shared" si="9"/>
        <v/>
      </c>
      <c r="AP48" s="609" t="str">
        <f t="shared" si="9"/>
        <v/>
      </c>
      <c r="AQ48" s="609" t="str">
        <f t="shared" si="9"/>
        <v/>
      </c>
      <c r="AR48" s="609" t="str">
        <f t="shared" si="9"/>
        <v/>
      </c>
      <c r="AS48" s="609" t="str">
        <f t="shared" si="9"/>
        <v/>
      </c>
      <c r="AT48" s="609" t="str">
        <f t="shared" si="9"/>
        <v/>
      </c>
      <c r="AU48" s="609" t="str">
        <f t="shared" si="9"/>
        <v/>
      </c>
      <c r="AV48" s="609" t="str">
        <f t="shared" si="9"/>
        <v/>
      </c>
      <c r="AW48" s="609" t="str">
        <f t="shared" si="9"/>
        <v/>
      </c>
      <c r="AX48" s="609" t="str">
        <f t="shared" si="9"/>
        <v/>
      </c>
      <c r="AY48" s="609" t="str">
        <f t="shared" si="9"/>
        <v/>
      </c>
      <c r="AZ48" s="609" t="str">
        <f t="shared" si="9"/>
        <v/>
      </c>
      <c r="BA48" s="609" t="str">
        <f t="shared" si="9"/>
        <v/>
      </c>
      <c r="BB48" s="609" t="str">
        <f t="shared" si="9"/>
        <v/>
      </c>
      <c r="BC48" s="609" t="str">
        <f t="shared" si="9"/>
        <v/>
      </c>
      <c r="BD48" s="609" t="str">
        <f t="shared" si="9"/>
        <v/>
      </c>
      <c r="BE48" s="609" t="str">
        <f t="shared" si="9"/>
        <v/>
      </c>
      <c r="BF48" s="609" t="str">
        <f t="shared" si="9"/>
        <v/>
      </c>
      <c r="BG48" s="609" t="str">
        <f t="shared" si="9"/>
        <v/>
      </c>
    </row>
    <row r="49" spans="2:59" x14ac:dyDescent="0.25">
      <c r="B49" s="654">
        <v>43</v>
      </c>
      <c r="C49" s="654"/>
      <c r="D49" s="654"/>
      <c r="E49" s="655"/>
      <c r="F49" s="654"/>
      <c r="H49" s="609" t="str">
        <f t="shared" si="1"/>
        <v/>
      </c>
      <c r="I49" s="609" t="str">
        <f t="shared" si="9"/>
        <v/>
      </c>
      <c r="J49" s="609" t="str">
        <f t="shared" si="9"/>
        <v/>
      </c>
      <c r="K49" s="609" t="str">
        <f t="shared" si="9"/>
        <v/>
      </c>
      <c r="L49" s="609" t="str">
        <f t="shared" si="9"/>
        <v/>
      </c>
      <c r="M49" s="609" t="str">
        <f t="shared" si="9"/>
        <v/>
      </c>
      <c r="N49" s="609" t="str">
        <f t="shared" si="9"/>
        <v/>
      </c>
      <c r="O49" s="609" t="str">
        <f t="shared" si="9"/>
        <v/>
      </c>
      <c r="P49" s="609" t="str">
        <f t="shared" si="9"/>
        <v/>
      </c>
      <c r="Q49" s="609" t="str">
        <f t="shared" si="9"/>
        <v/>
      </c>
      <c r="R49" s="609" t="str">
        <f t="shared" si="9"/>
        <v/>
      </c>
      <c r="S49" s="609" t="str">
        <f t="shared" si="9"/>
        <v/>
      </c>
      <c r="T49" s="609" t="str">
        <f t="shared" si="9"/>
        <v/>
      </c>
      <c r="U49" s="609" t="str">
        <f t="shared" si="9"/>
        <v/>
      </c>
      <c r="V49" s="609" t="str">
        <f t="shared" si="9"/>
        <v/>
      </c>
      <c r="W49" s="609" t="str">
        <f t="shared" si="9"/>
        <v/>
      </c>
      <c r="X49" s="609" t="str">
        <f t="shared" si="9"/>
        <v/>
      </c>
      <c r="Y49" s="609" t="str">
        <f t="shared" si="9"/>
        <v/>
      </c>
      <c r="Z49" s="609" t="str">
        <f t="shared" si="9"/>
        <v/>
      </c>
      <c r="AA49" s="609" t="str">
        <f t="shared" si="9"/>
        <v/>
      </c>
      <c r="AB49" s="609" t="str">
        <f t="shared" si="9"/>
        <v/>
      </c>
      <c r="AC49" s="609" t="str">
        <f t="shared" si="9"/>
        <v/>
      </c>
      <c r="AD49" s="609" t="str">
        <f t="shared" si="9"/>
        <v/>
      </c>
      <c r="AE49" s="609" t="str">
        <f t="shared" si="9"/>
        <v/>
      </c>
      <c r="AF49" s="609" t="str">
        <f t="shared" si="9"/>
        <v/>
      </c>
      <c r="AG49" s="609" t="str">
        <f t="shared" si="9"/>
        <v/>
      </c>
      <c r="AH49" s="609" t="str">
        <f t="shared" si="9"/>
        <v/>
      </c>
      <c r="AI49" s="609" t="str">
        <f t="shared" si="9"/>
        <v/>
      </c>
      <c r="AJ49" s="609" t="str">
        <f t="shared" si="9"/>
        <v/>
      </c>
      <c r="AK49" s="609" t="str">
        <f t="shared" si="9"/>
        <v/>
      </c>
      <c r="AL49" s="609" t="str">
        <f t="shared" si="9"/>
        <v/>
      </c>
      <c r="AM49" s="609" t="str">
        <f t="shared" si="9"/>
        <v/>
      </c>
      <c r="AN49" s="609" t="str">
        <f t="shared" si="9"/>
        <v/>
      </c>
      <c r="AO49" s="609" t="str">
        <f t="shared" si="9"/>
        <v/>
      </c>
      <c r="AP49" s="609" t="str">
        <f t="shared" si="9"/>
        <v/>
      </c>
      <c r="AQ49" s="609" t="str">
        <f t="shared" si="9"/>
        <v/>
      </c>
      <c r="AR49" s="609" t="str">
        <f t="shared" si="9"/>
        <v/>
      </c>
      <c r="AS49" s="609" t="str">
        <f t="shared" si="9"/>
        <v/>
      </c>
      <c r="AT49" s="609" t="str">
        <f t="shared" si="9"/>
        <v/>
      </c>
      <c r="AU49" s="609" t="str">
        <f t="shared" si="9"/>
        <v/>
      </c>
      <c r="AV49" s="609" t="str">
        <f t="shared" si="9"/>
        <v/>
      </c>
      <c r="AW49" s="609" t="str">
        <f t="shared" si="9"/>
        <v/>
      </c>
      <c r="AX49" s="609" t="str">
        <f t="shared" si="9"/>
        <v/>
      </c>
      <c r="AY49" s="609" t="str">
        <f t="shared" si="9"/>
        <v/>
      </c>
      <c r="AZ49" s="609" t="str">
        <f t="shared" si="9"/>
        <v/>
      </c>
      <c r="BA49" s="609" t="str">
        <f t="shared" si="9"/>
        <v/>
      </c>
      <c r="BB49" s="609" t="str">
        <f t="shared" si="9"/>
        <v/>
      </c>
      <c r="BC49" s="609" t="str">
        <f t="shared" si="9"/>
        <v/>
      </c>
      <c r="BD49" s="609" t="str">
        <f t="shared" si="9"/>
        <v/>
      </c>
      <c r="BE49" s="609" t="str">
        <f t="shared" si="9"/>
        <v/>
      </c>
      <c r="BF49" s="609" t="str">
        <f t="shared" si="9"/>
        <v/>
      </c>
      <c r="BG49" s="609" t="str">
        <f t="shared" si="9"/>
        <v/>
      </c>
    </row>
    <row r="50" spans="2:59" x14ac:dyDescent="0.25">
      <c r="B50" s="654">
        <v>44</v>
      </c>
      <c r="C50" s="654"/>
      <c r="D50" s="654"/>
      <c r="E50" s="655"/>
      <c r="F50" s="654"/>
      <c r="H50" s="609" t="str">
        <f t="shared" si="1"/>
        <v/>
      </c>
      <c r="I50" s="609" t="str">
        <f t="shared" si="9"/>
        <v/>
      </c>
      <c r="J50" s="609" t="str">
        <f t="shared" si="9"/>
        <v/>
      </c>
      <c r="K50" s="609" t="str">
        <f t="shared" si="9"/>
        <v/>
      </c>
      <c r="L50" s="609" t="str">
        <f t="shared" si="9"/>
        <v/>
      </c>
      <c r="M50" s="609" t="str">
        <f t="shared" si="9"/>
        <v/>
      </c>
      <c r="N50" s="609" t="str">
        <f t="shared" si="9"/>
        <v/>
      </c>
      <c r="O50" s="609" t="str">
        <f t="shared" si="9"/>
        <v/>
      </c>
      <c r="P50" s="609" t="str">
        <f t="shared" si="9"/>
        <v/>
      </c>
      <c r="Q50" s="609" t="str">
        <f t="shared" si="9"/>
        <v/>
      </c>
      <c r="R50" s="609" t="str">
        <f t="shared" si="9"/>
        <v/>
      </c>
      <c r="S50" s="609" t="str">
        <f t="shared" si="9"/>
        <v/>
      </c>
      <c r="T50" s="609" t="str">
        <f t="shared" si="9"/>
        <v/>
      </c>
      <c r="U50" s="609" t="str">
        <f t="shared" si="9"/>
        <v/>
      </c>
      <c r="V50" s="609" t="str">
        <f t="shared" si="9"/>
        <v/>
      </c>
      <c r="W50" s="609" t="str">
        <f t="shared" si="9"/>
        <v/>
      </c>
      <c r="X50" s="609" t="str">
        <f t="shared" si="9"/>
        <v/>
      </c>
      <c r="Y50" s="609" t="str">
        <f t="shared" si="9"/>
        <v/>
      </c>
      <c r="Z50" s="609" t="str">
        <f t="shared" si="9"/>
        <v/>
      </c>
      <c r="AA50" s="609" t="str">
        <f t="shared" si="9"/>
        <v/>
      </c>
      <c r="AB50" s="609" t="str">
        <f t="shared" si="9"/>
        <v/>
      </c>
      <c r="AC50" s="609" t="str">
        <f t="shared" si="9"/>
        <v/>
      </c>
      <c r="AD50" s="609" t="str">
        <f t="shared" si="9"/>
        <v/>
      </c>
      <c r="AE50" s="609" t="str">
        <f t="shared" si="9"/>
        <v/>
      </c>
      <c r="AF50" s="609" t="str">
        <f t="shared" si="9"/>
        <v/>
      </c>
      <c r="AG50" s="609" t="str">
        <f t="shared" si="9"/>
        <v/>
      </c>
      <c r="AH50" s="609" t="str">
        <f t="shared" si="9"/>
        <v/>
      </c>
      <c r="AI50" s="609" t="str">
        <f t="shared" si="9"/>
        <v/>
      </c>
      <c r="AJ50" s="609" t="str">
        <f t="shared" si="9"/>
        <v/>
      </c>
      <c r="AK50" s="609" t="str">
        <f t="shared" si="9"/>
        <v/>
      </c>
      <c r="AL50" s="609" t="str">
        <f t="shared" si="9"/>
        <v/>
      </c>
      <c r="AM50" s="609" t="str">
        <f t="shared" si="9"/>
        <v/>
      </c>
      <c r="AN50" s="609" t="str">
        <f t="shared" si="9"/>
        <v/>
      </c>
      <c r="AO50" s="609" t="str">
        <f t="shared" si="9"/>
        <v/>
      </c>
      <c r="AP50" s="609" t="str">
        <f t="shared" si="9"/>
        <v/>
      </c>
      <c r="AQ50" s="609" t="str">
        <f t="shared" si="9"/>
        <v/>
      </c>
      <c r="AR50" s="609" t="str">
        <f t="shared" si="9"/>
        <v/>
      </c>
      <c r="AS50" s="609" t="str">
        <f t="shared" si="9"/>
        <v/>
      </c>
      <c r="AT50" s="609" t="str">
        <f t="shared" si="9"/>
        <v/>
      </c>
      <c r="AU50" s="609" t="str">
        <f t="shared" si="9"/>
        <v/>
      </c>
      <c r="AV50" s="609" t="str">
        <f t="shared" si="9"/>
        <v/>
      </c>
      <c r="AW50" s="609" t="str">
        <f t="shared" si="9"/>
        <v/>
      </c>
      <c r="AX50" s="609" t="str">
        <f t="shared" si="9"/>
        <v/>
      </c>
      <c r="AY50" s="609" t="str">
        <f t="shared" si="9"/>
        <v/>
      </c>
      <c r="AZ50" s="609" t="str">
        <f t="shared" si="9"/>
        <v/>
      </c>
      <c r="BA50" s="609" t="str">
        <f t="shared" si="9"/>
        <v/>
      </c>
      <c r="BB50" s="609" t="str">
        <f t="shared" si="9"/>
        <v/>
      </c>
      <c r="BC50" s="609" t="str">
        <f t="shared" si="9"/>
        <v/>
      </c>
      <c r="BD50" s="609" t="str">
        <f t="shared" si="9"/>
        <v/>
      </c>
      <c r="BE50" s="609" t="str">
        <f t="shared" si="9"/>
        <v/>
      </c>
      <c r="BF50" s="609" t="str">
        <f t="shared" si="9"/>
        <v/>
      </c>
      <c r="BG50" s="609" t="str">
        <f t="shared" si="9"/>
        <v/>
      </c>
    </row>
    <row r="51" spans="2:59" x14ac:dyDescent="0.25">
      <c r="B51" s="654">
        <v>45</v>
      </c>
      <c r="C51" s="654"/>
      <c r="D51" s="654"/>
      <c r="E51" s="655"/>
      <c r="F51" s="654"/>
      <c r="H51" s="609" t="str">
        <f t="shared" si="1"/>
        <v/>
      </c>
      <c r="I51" s="609" t="str">
        <f t="shared" si="9"/>
        <v/>
      </c>
      <c r="J51" s="609" t="str">
        <f t="shared" si="9"/>
        <v/>
      </c>
      <c r="K51" s="609" t="str">
        <f t="shared" si="9"/>
        <v/>
      </c>
      <c r="L51" s="609" t="str">
        <f t="shared" si="9"/>
        <v/>
      </c>
      <c r="M51" s="609" t="str">
        <f t="shared" si="9"/>
        <v/>
      </c>
      <c r="N51" s="609" t="str">
        <f t="shared" si="9"/>
        <v/>
      </c>
      <c r="O51" s="609" t="str">
        <f t="shared" si="9"/>
        <v/>
      </c>
      <c r="P51" s="609" t="str">
        <f t="shared" si="9"/>
        <v/>
      </c>
      <c r="Q51" s="609" t="str">
        <f t="shared" si="9"/>
        <v/>
      </c>
      <c r="R51" s="609" t="str">
        <f t="shared" si="9"/>
        <v/>
      </c>
      <c r="S51" s="609" t="str">
        <f t="shared" si="9"/>
        <v/>
      </c>
      <c r="T51" s="609" t="str">
        <f t="shared" si="9"/>
        <v/>
      </c>
      <c r="U51" s="609" t="str">
        <f t="shared" si="9"/>
        <v/>
      </c>
      <c r="V51" s="609" t="str">
        <f t="shared" si="9"/>
        <v/>
      </c>
      <c r="W51" s="609" t="str">
        <f t="shared" si="9"/>
        <v/>
      </c>
      <c r="X51" s="609" t="str">
        <f t="shared" si="9"/>
        <v/>
      </c>
      <c r="Y51" s="609" t="str">
        <f t="shared" si="9"/>
        <v/>
      </c>
      <c r="Z51" s="609" t="str">
        <f t="shared" si="9"/>
        <v/>
      </c>
      <c r="AA51" s="609" t="str">
        <f t="shared" si="9"/>
        <v/>
      </c>
      <c r="AB51" s="609" t="str">
        <f t="shared" si="9"/>
        <v/>
      </c>
      <c r="AC51" s="609" t="str">
        <f t="shared" si="9"/>
        <v/>
      </c>
      <c r="AD51" s="609" t="str">
        <f t="shared" si="9"/>
        <v/>
      </c>
      <c r="AE51" s="609" t="str">
        <f t="shared" si="9"/>
        <v/>
      </c>
      <c r="AF51" s="609" t="str">
        <f t="shared" si="9"/>
        <v/>
      </c>
      <c r="AG51" s="609" t="str">
        <f t="shared" si="9"/>
        <v/>
      </c>
      <c r="AH51" s="609" t="str">
        <f t="shared" si="9"/>
        <v/>
      </c>
      <c r="AI51" s="609" t="str">
        <f t="shared" si="9"/>
        <v/>
      </c>
      <c r="AJ51" s="609" t="str">
        <f t="shared" si="9"/>
        <v/>
      </c>
      <c r="AK51" s="609" t="str">
        <f t="shared" si="9"/>
        <v/>
      </c>
      <c r="AL51" s="609" t="str">
        <f t="shared" si="9"/>
        <v/>
      </c>
      <c r="AM51" s="609" t="str">
        <f t="shared" si="9"/>
        <v/>
      </c>
      <c r="AN51" s="609" t="str">
        <f t="shared" si="9"/>
        <v/>
      </c>
      <c r="AO51" s="609" t="str">
        <f t="shared" si="9"/>
        <v/>
      </c>
      <c r="AP51" s="609" t="str">
        <f t="shared" si="9"/>
        <v/>
      </c>
      <c r="AQ51" s="609" t="str">
        <f t="shared" si="9"/>
        <v/>
      </c>
      <c r="AR51" s="609" t="str">
        <f t="shared" si="9"/>
        <v/>
      </c>
      <c r="AS51" s="609" t="str">
        <f t="shared" si="9"/>
        <v/>
      </c>
      <c r="AT51" s="609" t="str">
        <f t="shared" si="9"/>
        <v/>
      </c>
      <c r="AU51" s="609" t="str">
        <f t="shared" si="9"/>
        <v/>
      </c>
      <c r="AV51" s="609" t="str">
        <f t="shared" si="9"/>
        <v/>
      </c>
      <c r="AW51" s="609" t="str">
        <f t="shared" si="9"/>
        <v/>
      </c>
      <c r="AX51" s="609" t="str">
        <f t="shared" si="9"/>
        <v/>
      </c>
      <c r="AY51" s="609" t="str">
        <f t="shared" si="9"/>
        <v/>
      </c>
      <c r="AZ51" s="609" t="str">
        <f t="shared" si="9"/>
        <v/>
      </c>
      <c r="BA51" s="609" t="str">
        <f t="shared" si="9"/>
        <v/>
      </c>
      <c r="BB51" s="609" t="str">
        <f t="shared" si="9"/>
        <v/>
      </c>
      <c r="BC51" s="609" t="str">
        <f t="shared" si="9"/>
        <v/>
      </c>
      <c r="BD51" s="609" t="str">
        <f t="shared" si="9"/>
        <v/>
      </c>
      <c r="BE51" s="609" t="str">
        <f t="shared" si="9"/>
        <v/>
      </c>
      <c r="BF51" s="609" t="str">
        <f t="shared" si="9"/>
        <v/>
      </c>
      <c r="BG51" s="609" t="str">
        <f t="shared" si="9"/>
        <v/>
      </c>
    </row>
    <row r="52" spans="2:59" x14ac:dyDescent="0.25">
      <c r="B52" s="654">
        <v>46</v>
      </c>
      <c r="C52" s="654"/>
      <c r="D52" s="654"/>
      <c r="E52" s="655"/>
      <c r="F52" s="654"/>
      <c r="H52" s="609" t="str">
        <f t="shared" si="1"/>
        <v/>
      </c>
      <c r="I52" s="609" t="str">
        <f t="shared" si="9"/>
        <v/>
      </c>
      <c r="J52" s="609" t="str">
        <f t="shared" si="9"/>
        <v/>
      </c>
      <c r="K52" s="609" t="str">
        <f t="shared" si="9"/>
        <v/>
      </c>
      <c r="L52" s="609" t="str">
        <f t="shared" si="9"/>
        <v/>
      </c>
      <c r="M52" s="609" t="str">
        <f t="shared" si="9"/>
        <v/>
      </c>
      <c r="N52" s="609" t="str">
        <f t="shared" si="9"/>
        <v/>
      </c>
      <c r="O52" s="609" t="str">
        <f t="shared" si="9"/>
        <v/>
      </c>
      <c r="P52" s="609" t="str">
        <f t="shared" si="9"/>
        <v/>
      </c>
      <c r="Q52" s="609" t="str">
        <f t="shared" si="9"/>
        <v/>
      </c>
      <c r="R52" s="609" t="str">
        <f t="shared" si="9"/>
        <v/>
      </c>
      <c r="S52" s="609" t="str">
        <f t="shared" si="9"/>
        <v/>
      </c>
      <c r="T52" s="609" t="str">
        <f t="shared" si="9"/>
        <v/>
      </c>
      <c r="U52" s="609" t="str">
        <f t="shared" si="9"/>
        <v/>
      </c>
      <c r="V52" s="609" t="str">
        <f t="shared" si="9"/>
        <v/>
      </c>
      <c r="W52" s="609" t="str">
        <f t="shared" si="9"/>
        <v/>
      </c>
      <c r="X52" s="609" t="str">
        <f t="shared" ref="I52:BG57" si="10">IF($D52=X$6,$B52&amp;", ","")</f>
        <v/>
      </c>
      <c r="Y52" s="609" t="str">
        <f t="shared" si="10"/>
        <v/>
      </c>
      <c r="Z52" s="609" t="str">
        <f t="shared" si="10"/>
        <v/>
      </c>
      <c r="AA52" s="609" t="str">
        <f t="shared" si="10"/>
        <v/>
      </c>
      <c r="AB52" s="609" t="str">
        <f t="shared" si="10"/>
        <v/>
      </c>
      <c r="AC52" s="609" t="str">
        <f t="shared" si="10"/>
        <v/>
      </c>
      <c r="AD52" s="609" t="str">
        <f t="shared" si="10"/>
        <v/>
      </c>
      <c r="AE52" s="609" t="str">
        <f t="shared" si="10"/>
        <v/>
      </c>
      <c r="AF52" s="609" t="str">
        <f t="shared" si="10"/>
        <v/>
      </c>
      <c r="AG52" s="609" t="str">
        <f t="shared" si="10"/>
        <v/>
      </c>
      <c r="AH52" s="609" t="str">
        <f t="shared" si="10"/>
        <v/>
      </c>
      <c r="AI52" s="609" t="str">
        <f t="shared" si="10"/>
        <v/>
      </c>
      <c r="AJ52" s="609" t="str">
        <f t="shared" si="10"/>
        <v/>
      </c>
      <c r="AK52" s="609" t="str">
        <f t="shared" si="10"/>
        <v/>
      </c>
      <c r="AL52" s="609" t="str">
        <f t="shared" si="10"/>
        <v/>
      </c>
      <c r="AM52" s="609" t="str">
        <f t="shared" si="10"/>
        <v/>
      </c>
      <c r="AN52" s="609" t="str">
        <f t="shared" si="10"/>
        <v/>
      </c>
      <c r="AO52" s="609" t="str">
        <f t="shared" si="10"/>
        <v/>
      </c>
      <c r="AP52" s="609" t="str">
        <f t="shared" si="10"/>
        <v/>
      </c>
      <c r="AQ52" s="609" t="str">
        <f t="shared" si="10"/>
        <v/>
      </c>
      <c r="AR52" s="609" t="str">
        <f t="shared" si="10"/>
        <v/>
      </c>
      <c r="AS52" s="609" t="str">
        <f t="shared" si="10"/>
        <v/>
      </c>
      <c r="AT52" s="609" t="str">
        <f t="shared" si="10"/>
        <v/>
      </c>
      <c r="AU52" s="609" t="str">
        <f t="shared" si="10"/>
        <v/>
      </c>
      <c r="AV52" s="609" t="str">
        <f t="shared" si="10"/>
        <v/>
      </c>
      <c r="AW52" s="609" t="str">
        <f t="shared" si="10"/>
        <v/>
      </c>
      <c r="AX52" s="609" t="str">
        <f t="shared" si="10"/>
        <v/>
      </c>
      <c r="AY52" s="609" t="str">
        <f t="shared" si="10"/>
        <v/>
      </c>
      <c r="AZ52" s="609" t="str">
        <f t="shared" si="10"/>
        <v/>
      </c>
      <c r="BA52" s="609" t="str">
        <f t="shared" si="10"/>
        <v/>
      </c>
      <c r="BB52" s="609" t="str">
        <f t="shared" si="10"/>
        <v/>
      </c>
      <c r="BC52" s="609" t="str">
        <f t="shared" si="10"/>
        <v/>
      </c>
      <c r="BD52" s="609" t="str">
        <f t="shared" si="10"/>
        <v/>
      </c>
      <c r="BE52" s="609" t="str">
        <f t="shared" si="10"/>
        <v/>
      </c>
      <c r="BF52" s="609" t="str">
        <f t="shared" si="10"/>
        <v/>
      </c>
      <c r="BG52" s="609" t="str">
        <f t="shared" si="10"/>
        <v/>
      </c>
    </row>
    <row r="53" spans="2:59" x14ac:dyDescent="0.25">
      <c r="B53" s="654">
        <v>47</v>
      </c>
      <c r="C53" s="654"/>
      <c r="D53" s="654"/>
      <c r="E53" s="655"/>
      <c r="F53" s="654"/>
      <c r="H53" s="609" t="str">
        <f t="shared" si="1"/>
        <v/>
      </c>
      <c r="I53" s="609" t="str">
        <f t="shared" si="10"/>
        <v/>
      </c>
      <c r="J53" s="609" t="str">
        <f t="shared" si="10"/>
        <v/>
      </c>
      <c r="K53" s="609" t="str">
        <f t="shared" si="10"/>
        <v/>
      </c>
      <c r="L53" s="609" t="str">
        <f t="shared" si="10"/>
        <v/>
      </c>
      <c r="M53" s="609" t="str">
        <f t="shared" si="10"/>
        <v/>
      </c>
      <c r="N53" s="609" t="str">
        <f t="shared" si="10"/>
        <v/>
      </c>
      <c r="O53" s="609" t="str">
        <f t="shared" si="10"/>
        <v/>
      </c>
      <c r="P53" s="609" t="str">
        <f t="shared" si="10"/>
        <v/>
      </c>
      <c r="Q53" s="609" t="str">
        <f t="shared" si="10"/>
        <v/>
      </c>
      <c r="R53" s="609" t="str">
        <f t="shared" si="10"/>
        <v/>
      </c>
      <c r="S53" s="609" t="str">
        <f t="shared" si="10"/>
        <v/>
      </c>
      <c r="T53" s="609" t="str">
        <f t="shared" si="10"/>
        <v/>
      </c>
      <c r="U53" s="609" t="str">
        <f t="shared" si="10"/>
        <v/>
      </c>
      <c r="V53" s="609" t="str">
        <f t="shared" si="10"/>
        <v/>
      </c>
      <c r="W53" s="609" t="str">
        <f t="shared" si="10"/>
        <v/>
      </c>
      <c r="X53" s="609" t="str">
        <f t="shared" si="10"/>
        <v/>
      </c>
      <c r="Y53" s="609" t="str">
        <f t="shared" si="10"/>
        <v/>
      </c>
      <c r="Z53" s="609" t="str">
        <f t="shared" si="10"/>
        <v/>
      </c>
      <c r="AA53" s="609" t="str">
        <f t="shared" si="10"/>
        <v/>
      </c>
      <c r="AB53" s="609" t="str">
        <f t="shared" si="10"/>
        <v/>
      </c>
      <c r="AC53" s="609" t="str">
        <f t="shared" si="10"/>
        <v/>
      </c>
      <c r="AD53" s="609" t="str">
        <f t="shared" si="10"/>
        <v/>
      </c>
      <c r="AE53" s="609" t="str">
        <f t="shared" si="10"/>
        <v/>
      </c>
      <c r="AF53" s="609" t="str">
        <f t="shared" si="10"/>
        <v/>
      </c>
      <c r="AG53" s="609" t="str">
        <f t="shared" si="10"/>
        <v/>
      </c>
      <c r="AH53" s="609" t="str">
        <f t="shared" si="10"/>
        <v/>
      </c>
      <c r="AI53" s="609" t="str">
        <f t="shared" si="10"/>
        <v/>
      </c>
      <c r="AJ53" s="609" t="str">
        <f t="shared" si="10"/>
        <v/>
      </c>
      <c r="AK53" s="609" t="str">
        <f t="shared" si="10"/>
        <v/>
      </c>
      <c r="AL53" s="609" t="str">
        <f t="shared" si="10"/>
        <v/>
      </c>
      <c r="AM53" s="609" t="str">
        <f t="shared" si="10"/>
        <v/>
      </c>
      <c r="AN53" s="609" t="str">
        <f t="shared" si="10"/>
        <v/>
      </c>
      <c r="AO53" s="609" t="str">
        <f t="shared" si="10"/>
        <v/>
      </c>
      <c r="AP53" s="609" t="str">
        <f t="shared" si="10"/>
        <v/>
      </c>
      <c r="AQ53" s="609" t="str">
        <f t="shared" si="10"/>
        <v/>
      </c>
      <c r="AR53" s="609" t="str">
        <f t="shared" si="10"/>
        <v/>
      </c>
      <c r="AS53" s="609" t="str">
        <f t="shared" si="10"/>
        <v/>
      </c>
      <c r="AT53" s="609" t="str">
        <f t="shared" si="10"/>
        <v/>
      </c>
      <c r="AU53" s="609" t="str">
        <f t="shared" si="10"/>
        <v/>
      </c>
      <c r="AV53" s="609" t="str">
        <f t="shared" si="10"/>
        <v/>
      </c>
      <c r="AW53" s="609" t="str">
        <f t="shared" si="10"/>
        <v/>
      </c>
      <c r="AX53" s="609" t="str">
        <f t="shared" si="10"/>
        <v/>
      </c>
      <c r="AY53" s="609" t="str">
        <f t="shared" si="10"/>
        <v/>
      </c>
      <c r="AZ53" s="609" t="str">
        <f t="shared" si="10"/>
        <v/>
      </c>
      <c r="BA53" s="609" t="str">
        <f t="shared" si="10"/>
        <v/>
      </c>
      <c r="BB53" s="609" t="str">
        <f t="shared" si="10"/>
        <v/>
      </c>
      <c r="BC53" s="609" t="str">
        <f t="shared" si="10"/>
        <v/>
      </c>
      <c r="BD53" s="609" t="str">
        <f t="shared" si="10"/>
        <v/>
      </c>
      <c r="BE53" s="609" t="str">
        <f t="shared" si="10"/>
        <v/>
      </c>
      <c r="BF53" s="609" t="str">
        <f t="shared" si="10"/>
        <v/>
      </c>
      <c r="BG53" s="609" t="str">
        <f t="shared" si="10"/>
        <v/>
      </c>
    </row>
    <row r="54" spans="2:59" x14ac:dyDescent="0.25">
      <c r="B54" s="654">
        <v>48</v>
      </c>
      <c r="C54" s="654"/>
      <c r="D54" s="654"/>
      <c r="E54" s="655"/>
      <c r="F54" s="654"/>
      <c r="H54" s="609" t="str">
        <f t="shared" si="1"/>
        <v/>
      </c>
      <c r="I54" s="609" t="str">
        <f t="shared" si="10"/>
        <v/>
      </c>
      <c r="J54" s="609" t="str">
        <f t="shared" si="10"/>
        <v/>
      </c>
      <c r="K54" s="609" t="str">
        <f t="shared" si="10"/>
        <v/>
      </c>
      <c r="L54" s="609" t="str">
        <f t="shared" si="10"/>
        <v/>
      </c>
      <c r="M54" s="609" t="str">
        <f t="shared" si="10"/>
        <v/>
      </c>
      <c r="N54" s="609" t="str">
        <f t="shared" si="10"/>
        <v/>
      </c>
      <c r="O54" s="609" t="str">
        <f t="shared" si="10"/>
        <v/>
      </c>
      <c r="P54" s="609" t="str">
        <f t="shared" si="10"/>
        <v/>
      </c>
      <c r="Q54" s="609" t="str">
        <f t="shared" si="10"/>
        <v/>
      </c>
      <c r="R54" s="609" t="str">
        <f t="shared" si="10"/>
        <v/>
      </c>
      <c r="S54" s="609" t="str">
        <f t="shared" si="10"/>
        <v/>
      </c>
      <c r="T54" s="609" t="str">
        <f t="shared" si="10"/>
        <v/>
      </c>
      <c r="U54" s="609" t="str">
        <f t="shared" si="10"/>
        <v/>
      </c>
      <c r="V54" s="609" t="str">
        <f t="shared" si="10"/>
        <v/>
      </c>
      <c r="W54" s="609" t="str">
        <f t="shared" si="10"/>
        <v/>
      </c>
      <c r="X54" s="609" t="str">
        <f t="shared" si="10"/>
        <v/>
      </c>
      <c r="Y54" s="609" t="str">
        <f t="shared" si="10"/>
        <v/>
      </c>
      <c r="Z54" s="609" t="str">
        <f t="shared" si="10"/>
        <v/>
      </c>
      <c r="AA54" s="609" t="str">
        <f t="shared" si="10"/>
        <v/>
      </c>
      <c r="AB54" s="609" t="str">
        <f t="shared" si="10"/>
        <v/>
      </c>
      <c r="AC54" s="609" t="str">
        <f t="shared" si="10"/>
        <v/>
      </c>
      <c r="AD54" s="609" t="str">
        <f t="shared" si="10"/>
        <v/>
      </c>
      <c r="AE54" s="609" t="str">
        <f t="shared" si="10"/>
        <v/>
      </c>
      <c r="AF54" s="609" t="str">
        <f t="shared" si="10"/>
        <v/>
      </c>
      <c r="AG54" s="609" t="str">
        <f t="shared" si="10"/>
        <v/>
      </c>
      <c r="AH54" s="609" t="str">
        <f t="shared" si="10"/>
        <v/>
      </c>
      <c r="AI54" s="609" t="str">
        <f t="shared" si="10"/>
        <v/>
      </c>
      <c r="AJ54" s="609" t="str">
        <f t="shared" si="10"/>
        <v/>
      </c>
      <c r="AK54" s="609" t="str">
        <f t="shared" si="10"/>
        <v/>
      </c>
      <c r="AL54" s="609" t="str">
        <f t="shared" si="10"/>
        <v/>
      </c>
      <c r="AM54" s="609" t="str">
        <f t="shared" si="10"/>
        <v/>
      </c>
      <c r="AN54" s="609" t="str">
        <f t="shared" si="10"/>
        <v/>
      </c>
      <c r="AO54" s="609" t="str">
        <f t="shared" si="10"/>
        <v/>
      </c>
      <c r="AP54" s="609" t="str">
        <f t="shared" si="10"/>
        <v/>
      </c>
      <c r="AQ54" s="609" t="str">
        <f t="shared" si="10"/>
        <v/>
      </c>
      <c r="AR54" s="609" t="str">
        <f t="shared" si="10"/>
        <v/>
      </c>
      <c r="AS54" s="609" t="str">
        <f t="shared" si="10"/>
        <v/>
      </c>
      <c r="AT54" s="609" t="str">
        <f t="shared" si="10"/>
        <v/>
      </c>
      <c r="AU54" s="609" t="str">
        <f t="shared" si="10"/>
        <v/>
      </c>
      <c r="AV54" s="609" t="str">
        <f t="shared" si="10"/>
        <v/>
      </c>
      <c r="AW54" s="609" t="str">
        <f t="shared" si="10"/>
        <v/>
      </c>
      <c r="AX54" s="609" t="str">
        <f t="shared" si="10"/>
        <v/>
      </c>
      <c r="AY54" s="609" t="str">
        <f t="shared" si="10"/>
        <v/>
      </c>
      <c r="AZ54" s="609" t="str">
        <f t="shared" si="10"/>
        <v/>
      </c>
      <c r="BA54" s="609" t="str">
        <f t="shared" si="10"/>
        <v/>
      </c>
      <c r="BB54" s="609" t="str">
        <f t="shared" si="10"/>
        <v/>
      </c>
      <c r="BC54" s="609" t="str">
        <f t="shared" si="10"/>
        <v/>
      </c>
      <c r="BD54" s="609" t="str">
        <f t="shared" si="10"/>
        <v/>
      </c>
      <c r="BE54" s="609" t="str">
        <f t="shared" si="10"/>
        <v/>
      </c>
      <c r="BF54" s="609" t="str">
        <f t="shared" si="10"/>
        <v/>
      </c>
      <c r="BG54" s="609" t="str">
        <f t="shared" si="10"/>
        <v/>
      </c>
    </row>
    <row r="55" spans="2:59" x14ac:dyDescent="0.25">
      <c r="B55" s="654">
        <v>49</v>
      </c>
      <c r="C55" s="654"/>
      <c r="D55" s="654"/>
      <c r="E55" s="655"/>
      <c r="F55" s="654"/>
      <c r="H55" s="609" t="str">
        <f t="shared" si="1"/>
        <v/>
      </c>
      <c r="I55" s="609" t="str">
        <f t="shared" si="10"/>
        <v/>
      </c>
      <c r="J55" s="609" t="str">
        <f t="shared" si="10"/>
        <v/>
      </c>
      <c r="K55" s="609" t="str">
        <f t="shared" si="10"/>
        <v/>
      </c>
      <c r="L55" s="609" t="str">
        <f t="shared" si="10"/>
        <v/>
      </c>
      <c r="M55" s="609" t="str">
        <f t="shared" si="10"/>
        <v/>
      </c>
      <c r="N55" s="609" t="str">
        <f t="shared" si="10"/>
        <v/>
      </c>
      <c r="O55" s="609" t="str">
        <f t="shared" si="10"/>
        <v/>
      </c>
      <c r="P55" s="609" t="str">
        <f t="shared" si="10"/>
        <v/>
      </c>
      <c r="Q55" s="609" t="str">
        <f t="shared" si="10"/>
        <v/>
      </c>
      <c r="R55" s="609" t="str">
        <f t="shared" si="10"/>
        <v/>
      </c>
      <c r="S55" s="609" t="str">
        <f t="shared" si="10"/>
        <v/>
      </c>
      <c r="T55" s="609" t="str">
        <f t="shared" si="10"/>
        <v/>
      </c>
      <c r="U55" s="609" t="str">
        <f t="shared" si="10"/>
        <v/>
      </c>
      <c r="V55" s="609" t="str">
        <f t="shared" si="10"/>
        <v/>
      </c>
      <c r="W55" s="609" t="str">
        <f t="shared" si="10"/>
        <v/>
      </c>
      <c r="X55" s="609" t="str">
        <f t="shared" si="10"/>
        <v/>
      </c>
      <c r="Y55" s="609" t="str">
        <f t="shared" si="10"/>
        <v/>
      </c>
      <c r="Z55" s="609" t="str">
        <f t="shared" si="10"/>
        <v/>
      </c>
      <c r="AA55" s="609" t="str">
        <f t="shared" si="10"/>
        <v/>
      </c>
      <c r="AB55" s="609" t="str">
        <f t="shared" si="10"/>
        <v/>
      </c>
      <c r="AC55" s="609" t="str">
        <f t="shared" si="10"/>
        <v/>
      </c>
      <c r="AD55" s="609" t="str">
        <f t="shared" si="10"/>
        <v/>
      </c>
      <c r="AE55" s="609" t="str">
        <f t="shared" si="10"/>
        <v/>
      </c>
      <c r="AF55" s="609" t="str">
        <f t="shared" si="10"/>
        <v/>
      </c>
      <c r="AG55" s="609" t="str">
        <f t="shared" si="10"/>
        <v/>
      </c>
      <c r="AH55" s="609" t="str">
        <f t="shared" si="10"/>
        <v/>
      </c>
      <c r="AI55" s="609" t="str">
        <f t="shared" si="10"/>
        <v/>
      </c>
      <c r="AJ55" s="609" t="str">
        <f t="shared" si="10"/>
        <v/>
      </c>
      <c r="AK55" s="609" t="str">
        <f t="shared" si="10"/>
        <v/>
      </c>
      <c r="AL55" s="609" t="str">
        <f t="shared" si="10"/>
        <v/>
      </c>
      <c r="AM55" s="609" t="str">
        <f t="shared" si="10"/>
        <v/>
      </c>
      <c r="AN55" s="609" t="str">
        <f t="shared" si="10"/>
        <v/>
      </c>
      <c r="AO55" s="609" t="str">
        <f t="shared" si="10"/>
        <v/>
      </c>
      <c r="AP55" s="609" t="str">
        <f t="shared" si="10"/>
        <v/>
      </c>
      <c r="AQ55" s="609" t="str">
        <f t="shared" si="10"/>
        <v/>
      </c>
      <c r="AR55" s="609" t="str">
        <f t="shared" si="10"/>
        <v/>
      </c>
      <c r="AS55" s="609" t="str">
        <f t="shared" si="10"/>
        <v/>
      </c>
      <c r="AT55" s="609" t="str">
        <f t="shared" si="10"/>
        <v/>
      </c>
      <c r="AU55" s="609" t="str">
        <f t="shared" si="10"/>
        <v/>
      </c>
      <c r="AV55" s="609" t="str">
        <f t="shared" si="10"/>
        <v/>
      </c>
      <c r="AW55" s="609" t="str">
        <f t="shared" si="10"/>
        <v/>
      </c>
      <c r="AX55" s="609" t="str">
        <f t="shared" si="10"/>
        <v/>
      </c>
      <c r="AY55" s="609" t="str">
        <f t="shared" si="10"/>
        <v/>
      </c>
      <c r="AZ55" s="609" t="str">
        <f t="shared" si="10"/>
        <v/>
      </c>
      <c r="BA55" s="609" t="str">
        <f t="shared" si="10"/>
        <v/>
      </c>
      <c r="BB55" s="609" t="str">
        <f t="shared" si="10"/>
        <v/>
      </c>
      <c r="BC55" s="609" t="str">
        <f t="shared" si="10"/>
        <v/>
      </c>
      <c r="BD55" s="609" t="str">
        <f t="shared" si="10"/>
        <v/>
      </c>
      <c r="BE55" s="609" t="str">
        <f t="shared" si="10"/>
        <v/>
      </c>
      <c r="BF55" s="609" t="str">
        <f t="shared" si="10"/>
        <v/>
      </c>
      <c r="BG55" s="609" t="str">
        <f t="shared" si="10"/>
        <v/>
      </c>
    </row>
    <row r="56" spans="2:59" x14ac:dyDescent="0.25">
      <c r="B56" s="654">
        <v>50</v>
      </c>
      <c r="C56" s="654"/>
      <c r="D56" s="654"/>
      <c r="E56" s="655"/>
      <c r="F56" s="654"/>
      <c r="H56" s="609" t="str">
        <f t="shared" si="1"/>
        <v/>
      </c>
      <c r="I56" s="609" t="str">
        <f t="shared" si="10"/>
        <v/>
      </c>
      <c r="J56" s="609" t="str">
        <f t="shared" si="10"/>
        <v/>
      </c>
      <c r="K56" s="609" t="str">
        <f t="shared" si="10"/>
        <v/>
      </c>
      <c r="L56" s="609" t="str">
        <f t="shared" si="10"/>
        <v/>
      </c>
      <c r="M56" s="609" t="str">
        <f t="shared" si="10"/>
        <v/>
      </c>
      <c r="N56" s="609" t="str">
        <f t="shared" si="10"/>
        <v/>
      </c>
      <c r="O56" s="609" t="str">
        <f t="shared" si="10"/>
        <v/>
      </c>
      <c r="P56" s="609" t="str">
        <f t="shared" si="10"/>
        <v/>
      </c>
      <c r="Q56" s="609" t="str">
        <f t="shared" si="10"/>
        <v/>
      </c>
      <c r="R56" s="609" t="str">
        <f t="shared" si="10"/>
        <v/>
      </c>
      <c r="S56" s="609" t="str">
        <f t="shared" si="10"/>
        <v/>
      </c>
      <c r="T56" s="609" t="str">
        <f t="shared" si="10"/>
        <v/>
      </c>
      <c r="U56" s="609" t="str">
        <f t="shared" si="10"/>
        <v/>
      </c>
      <c r="V56" s="609" t="str">
        <f t="shared" si="10"/>
        <v/>
      </c>
      <c r="W56" s="609" t="str">
        <f t="shared" si="10"/>
        <v/>
      </c>
      <c r="X56" s="609" t="str">
        <f t="shared" si="10"/>
        <v/>
      </c>
      <c r="Y56" s="609" t="str">
        <f t="shared" si="10"/>
        <v/>
      </c>
      <c r="Z56" s="609" t="str">
        <f t="shared" si="10"/>
        <v/>
      </c>
      <c r="AA56" s="609" t="str">
        <f t="shared" si="10"/>
        <v/>
      </c>
      <c r="AB56" s="609" t="str">
        <f t="shared" si="10"/>
        <v/>
      </c>
      <c r="AC56" s="609" t="str">
        <f t="shared" si="10"/>
        <v/>
      </c>
      <c r="AD56" s="609" t="str">
        <f t="shared" si="10"/>
        <v/>
      </c>
      <c r="AE56" s="609" t="str">
        <f t="shared" si="10"/>
        <v/>
      </c>
      <c r="AF56" s="609" t="str">
        <f t="shared" si="10"/>
        <v/>
      </c>
      <c r="AG56" s="609" t="str">
        <f t="shared" si="10"/>
        <v/>
      </c>
      <c r="AH56" s="609" t="str">
        <f t="shared" si="10"/>
        <v/>
      </c>
      <c r="AI56" s="609" t="str">
        <f t="shared" si="10"/>
        <v/>
      </c>
      <c r="AJ56" s="609" t="str">
        <f t="shared" si="10"/>
        <v/>
      </c>
      <c r="AK56" s="609" t="str">
        <f t="shared" si="10"/>
        <v/>
      </c>
      <c r="AL56" s="609" t="str">
        <f t="shared" si="10"/>
        <v/>
      </c>
      <c r="AM56" s="609" t="str">
        <f t="shared" si="10"/>
        <v/>
      </c>
      <c r="AN56" s="609" t="str">
        <f t="shared" si="10"/>
        <v/>
      </c>
      <c r="AO56" s="609" t="str">
        <f t="shared" si="10"/>
        <v/>
      </c>
      <c r="AP56" s="609" t="str">
        <f t="shared" si="10"/>
        <v/>
      </c>
      <c r="AQ56" s="609" t="str">
        <f t="shared" si="10"/>
        <v/>
      </c>
      <c r="AR56" s="609" t="str">
        <f t="shared" si="10"/>
        <v/>
      </c>
      <c r="AS56" s="609" t="str">
        <f t="shared" si="10"/>
        <v/>
      </c>
      <c r="AT56" s="609" t="str">
        <f t="shared" si="10"/>
        <v/>
      </c>
      <c r="AU56" s="609" t="str">
        <f t="shared" si="10"/>
        <v/>
      </c>
      <c r="AV56" s="609" t="str">
        <f t="shared" si="10"/>
        <v/>
      </c>
      <c r="AW56" s="609" t="str">
        <f t="shared" si="10"/>
        <v/>
      </c>
      <c r="AX56" s="609" t="str">
        <f t="shared" si="10"/>
        <v/>
      </c>
      <c r="AY56" s="609" t="str">
        <f t="shared" si="10"/>
        <v/>
      </c>
      <c r="AZ56" s="609" t="str">
        <f t="shared" si="10"/>
        <v/>
      </c>
      <c r="BA56" s="609" t="str">
        <f t="shared" si="10"/>
        <v/>
      </c>
      <c r="BB56" s="609" t="str">
        <f t="shared" si="10"/>
        <v/>
      </c>
      <c r="BC56" s="609" t="str">
        <f t="shared" si="10"/>
        <v/>
      </c>
      <c r="BD56" s="609" t="str">
        <f t="shared" si="10"/>
        <v/>
      </c>
      <c r="BE56" s="609" t="str">
        <f t="shared" si="10"/>
        <v/>
      </c>
      <c r="BF56" s="609" t="str">
        <f t="shared" si="10"/>
        <v/>
      </c>
      <c r="BG56" s="609" t="str">
        <f t="shared" si="10"/>
        <v/>
      </c>
    </row>
    <row r="57" spans="2:59" x14ac:dyDescent="0.25">
      <c r="B57" s="654">
        <v>51</v>
      </c>
      <c r="C57" s="654"/>
      <c r="D57" s="654"/>
      <c r="E57" s="655"/>
      <c r="F57" s="654"/>
      <c r="H57" s="609" t="str">
        <f t="shared" si="1"/>
        <v/>
      </c>
      <c r="I57" s="609" t="str">
        <f t="shared" si="10"/>
        <v/>
      </c>
      <c r="J57" s="609" t="str">
        <f t="shared" si="10"/>
        <v/>
      </c>
      <c r="K57" s="609" t="str">
        <f t="shared" si="10"/>
        <v/>
      </c>
      <c r="L57" s="609" t="str">
        <f t="shared" si="10"/>
        <v/>
      </c>
      <c r="M57" s="609" t="str">
        <f t="shared" si="10"/>
        <v/>
      </c>
      <c r="N57" s="609" t="str">
        <f t="shared" si="10"/>
        <v/>
      </c>
      <c r="O57" s="609" t="str">
        <f t="shared" si="10"/>
        <v/>
      </c>
      <c r="P57" s="609" t="str">
        <f t="shared" si="10"/>
        <v/>
      </c>
      <c r="Q57" s="609" t="str">
        <f t="shared" si="10"/>
        <v/>
      </c>
      <c r="R57" s="609" t="str">
        <f t="shared" si="10"/>
        <v/>
      </c>
      <c r="S57" s="609" t="str">
        <f t="shared" si="10"/>
        <v/>
      </c>
      <c r="T57" s="609" t="str">
        <f t="shared" si="10"/>
        <v/>
      </c>
      <c r="U57" s="609" t="str">
        <f t="shared" si="10"/>
        <v/>
      </c>
      <c r="V57" s="609" t="str">
        <f t="shared" si="10"/>
        <v/>
      </c>
      <c r="W57" s="609" t="str">
        <f t="shared" si="10"/>
        <v/>
      </c>
      <c r="X57" s="609" t="str">
        <f t="shared" ref="I57:BG62" si="11">IF($D57=X$6,$B57&amp;", ","")</f>
        <v/>
      </c>
      <c r="Y57" s="609" t="str">
        <f t="shared" si="11"/>
        <v/>
      </c>
      <c r="Z57" s="609" t="str">
        <f t="shared" si="11"/>
        <v/>
      </c>
      <c r="AA57" s="609" t="str">
        <f t="shared" si="11"/>
        <v/>
      </c>
      <c r="AB57" s="609" t="str">
        <f t="shared" si="11"/>
        <v/>
      </c>
      <c r="AC57" s="609" t="str">
        <f t="shared" si="11"/>
        <v/>
      </c>
      <c r="AD57" s="609" t="str">
        <f t="shared" si="11"/>
        <v/>
      </c>
      <c r="AE57" s="609" t="str">
        <f t="shared" si="11"/>
        <v/>
      </c>
      <c r="AF57" s="609" t="str">
        <f t="shared" si="11"/>
        <v/>
      </c>
      <c r="AG57" s="609" t="str">
        <f t="shared" si="11"/>
        <v/>
      </c>
      <c r="AH57" s="609" t="str">
        <f t="shared" si="11"/>
        <v/>
      </c>
      <c r="AI57" s="609" t="str">
        <f t="shared" si="11"/>
        <v/>
      </c>
      <c r="AJ57" s="609" t="str">
        <f t="shared" si="11"/>
        <v/>
      </c>
      <c r="AK57" s="609" t="str">
        <f t="shared" si="11"/>
        <v/>
      </c>
      <c r="AL57" s="609" t="str">
        <f t="shared" si="11"/>
        <v/>
      </c>
      <c r="AM57" s="609" t="str">
        <f t="shared" si="11"/>
        <v/>
      </c>
      <c r="AN57" s="609" t="str">
        <f t="shared" si="11"/>
        <v/>
      </c>
      <c r="AO57" s="609" t="str">
        <f t="shared" si="11"/>
        <v/>
      </c>
      <c r="AP57" s="609" t="str">
        <f t="shared" si="11"/>
        <v/>
      </c>
      <c r="AQ57" s="609" t="str">
        <f t="shared" si="11"/>
        <v/>
      </c>
      <c r="AR57" s="609" t="str">
        <f t="shared" si="11"/>
        <v/>
      </c>
      <c r="AS57" s="609" t="str">
        <f t="shared" si="11"/>
        <v/>
      </c>
      <c r="AT57" s="609" t="str">
        <f t="shared" si="11"/>
        <v/>
      </c>
      <c r="AU57" s="609" t="str">
        <f t="shared" si="11"/>
        <v/>
      </c>
      <c r="AV57" s="609" t="str">
        <f t="shared" si="11"/>
        <v/>
      </c>
      <c r="AW57" s="609" t="str">
        <f t="shared" si="11"/>
        <v/>
      </c>
      <c r="AX57" s="609" t="str">
        <f t="shared" si="11"/>
        <v/>
      </c>
      <c r="AY57" s="609" t="str">
        <f t="shared" si="11"/>
        <v/>
      </c>
      <c r="AZ57" s="609" t="str">
        <f t="shared" si="11"/>
        <v/>
      </c>
      <c r="BA57" s="609" t="str">
        <f t="shared" si="11"/>
        <v/>
      </c>
      <c r="BB57" s="609" t="str">
        <f t="shared" si="11"/>
        <v/>
      </c>
      <c r="BC57" s="609" t="str">
        <f t="shared" si="11"/>
        <v/>
      </c>
      <c r="BD57" s="609" t="str">
        <f t="shared" si="11"/>
        <v/>
      </c>
      <c r="BE57" s="609" t="str">
        <f t="shared" si="11"/>
        <v/>
      </c>
      <c r="BF57" s="609" t="str">
        <f t="shared" si="11"/>
        <v/>
      </c>
      <c r="BG57" s="609" t="str">
        <f t="shared" si="11"/>
        <v/>
      </c>
    </row>
    <row r="58" spans="2:59" x14ac:dyDescent="0.25">
      <c r="B58" s="654">
        <v>52</v>
      </c>
      <c r="C58" s="654"/>
      <c r="D58" s="654"/>
      <c r="E58" s="655"/>
      <c r="F58" s="654"/>
      <c r="H58" s="609" t="str">
        <f t="shared" si="1"/>
        <v/>
      </c>
      <c r="I58" s="609" t="str">
        <f t="shared" si="11"/>
        <v/>
      </c>
      <c r="J58" s="609" t="str">
        <f t="shared" si="11"/>
        <v/>
      </c>
      <c r="K58" s="609" t="str">
        <f t="shared" si="11"/>
        <v/>
      </c>
      <c r="L58" s="609" t="str">
        <f t="shared" si="11"/>
        <v/>
      </c>
      <c r="M58" s="609" t="str">
        <f t="shared" si="11"/>
        <v/>
      </c>
      <c r="N58" s="609" t="str">
        <f t="shared" si="11"/>
        <v/>
      </c>
      <c r="O58" s="609" t="str">
        <f t="shared" si="11"/>
        <v/>
      </c>
      <c r="P58" s="609" t="str">
        <f t="shared" si="11"/>
        <v/>
      </c>
      <c r="Q58" s="609" t="str">
        <f t="shared" si="11"/>
        <v/>
      </c>
      <c r="R58" s="609" t="str">
        <f t="shared" si="11"/>
        <v/>
      </c>
      <c r="S58" s="609" t="str">
        <f t="shared" si="11"/>
        <v/>
      </c>
      <c r="T58" s="609" t="str">
        <f t="shared" si="11"/>
        <v/>
      </c>
      <c r="U58" s="609" t="str">
        <f t="shared" si="11"/>
        <v/>
      </c>
      <c r="V58" s="609" t="str">
        <f t="shared" si="11"/>
        <v/>
      </c>
      <c r="W58" s="609" t="str">
        <f t="shared" si="11"/>
        <v/>
      </c>
      <c r="X58" s="609" t="str">
        <f t="shared" si="11"/>
        <v/>
      </c>
      <c r="Y58" s="609" t="str">
        <f t="shared" si="11"/>
        <v/>
      </c>
      <c r="Z58" s="609" t="str">
        <f t="shared" si="11"/>
        <v/>
      </c>
      <c r="AA58" s="609" t="str">
        <f t="shared" si="11"/>
        <v/>
      </c>
      <c r="AB58" s="609" t="str">
        <f t="shared" si="11"/>
        <v/>
      </c>
      <c r="AC58" s="609" t="str">
        <f t="shared" si="11"/>
        <v/>
      </c>
      <c r="AD58" s="609" t="str">
        <f t="shared" si="11"/>
        <v/>
      </c>
      <c r="AE58" s="609" t="str">
        <f t="shared" si="11"/>
        <v/>
      </c>
      <c r="AF58" s="609" t="str">
        <f t="shared" si="11"/>
        <v/>
      </c>
      <c r="AG58" s="609" t="str">
        <f t="shared" si="11"/>
        <v/>
      </c>
      <c r="AH58" s="609" t="str">
        <f t="shared" si="11"/>
        <v/>
      </c>
      <c r="AI58" s="609" t="str">
        <f t="shared" si="11"/>
        <v/>
      </c>
      <c r="AJ58" s="609" t="str">
        <f t="shared" si="11"/>
        <v/>
      </c>
      <c r="AK58" s="609" t="str">
        <f t="shared" si="11"/>
        <v/>
      </c>
      <c r="AL58" s="609" t="str">
        <f t="shared" si="11"/>
        <v/>
      </c>
      <c r="AM58" s="609" t="str">
        <f t="shared" si="11"/>
        <v/>
      </c>
      <c r="AN58" s="609" t="str">
        <f t="shared" si="11"/>
        <v/>
      </c>
      <c r="AO58" s="609" t="str">
        <f t="shared" si="11"/>
        <v/>
      </c>
      <c r="AP58" s="609" t="str">
        <f t="shared" si="11"/>
        <v/>
      </c>
      <c r="AQ58" s="609" t="str">
        <f t="shared" si="11"/>
        <v/>
      </c>
      <c r="AR58" s="609" t="str">
        <f t="shared" si="11"/>
        <v/>
      </c>
      <c r="AS58" s="609" t="str">
        <f t="shared" si="11"/>
        <v/>
      </c>
      <c r="AT58" s="609" t="str">
        <f t="shared" si="11"/>
        <v/>
      </c>
      <c r="AU58" s="609" t="str">
        <f t="shared" si="11"/>
        <v/>
      </c>
      <c r="AV58" s="609" t="str">
        <f t="shared" si="11"/>
        <v/>
      </c>
      <c r="AW58" s="609" t="str">
        <f t="shared" si="11"/>
        <v/>
      </c>
      <c r="AX58" s="609" t="str">
        <f t="shared" si="11"/>
        <v/>
      </c>
      <c r="AY58" s="609" t="str">
        <f t="shared" si="11"/>
        <v/>
      </c>
      <c r="AZ58" s="609" t="str">
        <f t="shared" si="11"/>
        <v/>
      </c>
      <c r="BA58" s="609" t="str">
        <f t="shared" si="11"/>
        <v/>
      </c>
      <c r="BB58" s="609" t="str">
        <f t="shared" si="11"/>
        <v/>
      </c>
      <c r="BC58" s="609" t="str">
        <f t="shared" si="11"/>
        <v/>
      </c>
      <c r="BD58" s="609" t="str">
        <f t="shared" si="11"/>
        <v/>
      </c>
      <c r="BE58" s="609" t="str">
        <f t="shared" si="11"/>
        <v/>
      </c>
      <c r="BF58" s="609" t="str">
        <f t="shared" si="11"/>
        <v/>
      </c>
      <c r="BG58" s="609" t="str">
        <f t="shared" si="11"/>
        <v/>
      </c>
    </row>
    <row r="59" spans="2:59" x14ac:dyDescent="0.25">
      <c r="B59" s="654">
        <v>53</v>
      </c>
      <c r="C59" s="654"/>
      <c r="D59" s="654"/>
      <c r="E59" s="655"/>
      <c r="F59" s="654"/>
      <c r="H59" s="609" t="str">
        <f t="shared" si="1"/>
        <v/>
      </c>
      <c r="I59" s="609" t="str">
        <f t="shared" si="11"/>
        <v/>
      </c>
      <c r="J59" s="609" t="str">
        <f t="shared" si="11"/>
        <v/>
      </c>
      <c r="K59" s="609" t="str">
        <f t="shared" si="11"/>
        <v/>
      </c>
      <c r="L59" s="609" t="str">
        <f t="shared" si="11"/>
        <v/>
      </c>
      <c r="M59" s="609" t="str">
        <f t="shared" si="11"/>
        <v/>
      </c>
      <c r="N59" s="609" t="str">
        <f t="shared" si="11"/>
        <v/>
      </c>
      <c r="O59" s="609" t="str">
        <f t="shared" si="11"/>
        <v/>
      </c>
      <c r="P59" s="609" t="str">
        <f t="shared" si="11"/>
        <v/>
      </c>
      <c r="Q59" s="609" t="str">
        <f t="shared" si="11"/>
        <v/>
      </c>
      <c r="R59" s="609" t="str">
        <f t="shared" si="11"/>
        <v/>
      </c>
      <c r="S59" s="609" t="str">
        <f t="shared" si="11"/>
        <v/>
      </c>
      <c r="T59" s="609" t="str">
        <f t="shared" si="11"/>
        <v/>
      </c>
      <c r="U59" s="609" t="str">
        <f t="shared" si="11"/>
        <v/>
      </c>
      <c r="V59" s="609" t="str">
        <f t="shared" si="11"/>
        <v/>
      </c>
      <c r="W59" s="609" t="str">
        <f t="shared" si="11"/>
        <v/>
      </c>
      <c r="X59" s="609" t="str">
        <f t="shared" si="11"/>
        <v/>
      </c>
      <c r="Y59" s="609" t="str">
        <f t="shared" si="11"/>
        <v/>
      </c>
      <c r="Z59" s="609" t="str">
        <f t="shared" si="11"/>
        <v/>
      </c>
      <c r="AA59" s="609" t="str">
        <f t="shared" si="11"/>
        <v/>
      </c>
      <c r="AB59" s="609" t="str">
        <f t="shared" si="11"/>
        <v/>
      </c>
      <c r="AC59" s="609" t="str">
        <f t="shared" si="11"/>
        <v/>
      </c>
      <c r="AD59" s="609" t="str">
        <f t="shared" si="11"/>
        <v/>
      </c>
      <c r="AE59" s="609" t="str">
        <f t="shared" si="11"/>
        <v/>
      </c>
      <c r="AF59" s="609" t="str">
        <f t="shared" si="11"/>
        <v/>
      </c>
      <c r="AG59" s="609" t="str">
        <f t="shared" si="11"/>
        <v/>
      </c>
      <c r="AH59" s="609" t="str">
        <f t="shared" si="11"/>
        <v/>
      </c>
      <c r="AI59" s="609" t="str">
        <f t="shared" si="11"/>
        <v/>
      </c>
      <c r="AJ59" s="609" t="str">
        <f t="shared" si="11"/>
        <v/>
      </c>
      <c r="AK59" s="609" t="str">
        <f t="shared" si="11"/>
        <v/>
      </c>
      <c r="AL59" s="609" t="str">
        <f t="shared" si="11"/>
        <v/>
      </c>
      <c r="AM59" s="609" t="str">
        <f t="shared" si="11"/>
        <v/>
      </c>
      <c r="AN59" s="609" t="str">
        <f t="shared" si="11"/>
        <v/>
      </c>
      <c r="AO59" s="609" t="str">
        <f t="shared" si="11"/>
        <v/>
      </c>
      <c r="AP59" s="609" t="str">
        <f t="shared" si="11"/>
        <v/>
      </c>
      <c r="AQ59" s="609" t="str">
        <f t="shared" si="11"/>
        <v/>
      </c>
      <c r="AR59" s="609" t="str">
        <f t="shared" si="11"/>
        <v/>
      </c>
      <c r="AS59" s="609" t="str">
        <f t="shared" si="11"/>
        <v/>
      </c>
      <c r="AT59" s="609" t="str">
        <f t="shared" si="11"/>
        <v/>
      </c>
      <c r="AU59" s="609" t="str">
        <f t="shared" si="11"/>
        <v/>
      </c>
      <c r="AV59" s="609" t="str">
        <f t="shared" si="11"/>
        <v/>
      </c>
      <c r="AW59" s="609" t="str">
        <f t="shared" si="11"/>
        <v/>
      </c>
      <c r="AX59" s="609" t="str">
        <f t="shared" si="11"/>
        <v/>
      </c>
      <c r="AY59" s="609" t="str">
        <f t="shared" si="11"/>
        <v/>
      </c>
      <c r="AZ59" s="609" t="str">
        <f t="shared" si="11"/>
        <v/>
      </c>
      <c r="BA59" s="609" t="str">
        <f t="shared" si="11"/>
        <v/>
      </c>
      <c r="BB59" s="609" t="str">
        <f t="shared" si="11"/>
        <v/>
      </c>
      <c r="BC59" s="609" t="str">
        <f t="shared" si="11"/>
        <v/>
      </c>
      <c r="BD59" s="609" t="str">
        <f t="shared" si="11"/>
        <v/>
      </c>
      <c r="BE59" s="609" t="str">
        <f t="shared" si="11"/>
        <v/>
      </c>
      <c r="BF59" s="609" t="str">
        <f t="shared" si="11"/>
        <v/>
      </c>
      <c r="BG59" s="609" t="str">
        <f t="shared" si="11"/>
        <v/>
      </c>
    </row>
    <row r="60" spans="2:59" x14ac:dyDescent="0.25">
      <c r="B60" s="654">
        <v>54</v>
      </c>
      <c r="C60" s="654"/>
      <c r="D60" s="654"/>
      <c r="E60" s="655"/>
      <c r="F60" s="654"/>
      <c r="H60" s="609" t="str">
        <f t="shared" si="1"/>
        <v/>
      </c>
      <c r="I60" s="609" t="str">
        <f t="shared" si="11"/>
        <v/>
      </c>
      <c r="J60" s="609" t="str">
        <f t="shared" si="11"/>
        <v/>
      </c>
      <c r="K60" s="609" t="str">
        <f t="shared" si="11"/>
        <v/>
      </c>
      <c r="L60" s="609" t="str">
        <f t="shared" si="11"/>
        <v/>
      </c>
      <c r="M60" s="609" t="str">
        <f t="shared" si="11"/>
        <v/>
      </c>
      <c r="N60" s="609" t="str">
        <f t="shared" si="11"/>
        <v/>
      </c>
      <c r="O60" s="609" t="str">
        <f t="shared" si="11"/>
        <v/>
      </c>
      <c r="P60" s="609" t="str">
        <f t="shared" si="11"/>
        <v/>
      </c>
      <c r="Q60" s="609" t="str">
        <f t="shared" si="11"/>
        <v/>
      </c>
      <c r="R60" s="609" t="str">
        <f t="shared" si="11"/>
        <v/>
      </c>
      <c r="S60" s="609" t="str">
        <f t="shared" si="11"/>
        <v/>
      </c>
      <c r="T60" s="609" t="str">
        <f t="shared" si="11"/>
        <v/>
      </c>
      <c r="U60" s="609" t="str">
        <f t="shared" si="11"/>
        <v/>
      </c>
      <c r="V60" s="609" t="str">
        <f t="shared" si="11"/>
        <v/>
      </c>
      <c r="W60" s="609" t="str">
        <f t="shared" si="11"/>
        <v/>
      </c>
      <c r="X60" s="609" t="str">
        <f t="shared" si="11"/>
        <v/>
      </c>
      <c r="Y60" s="609" t="str">
        <f t="shared" si="11"/>
        <v/>
      </c>
      <c r="Z60" s="609" t="str">
        <f t="shared" si="11"/>
        <v/>
      </c>
      <c r="AA60" s="609" t="str">
        <f t="shared" si="11"/>
        <v/>
      </c>
      <c r="AB60" s="609" t="str">
        <f t="shared" si="11"/>
        <v/>
      </c>
      <c r="AC60" s="609" t="str">
        <f t="shared" si="11"/>
        <v/>
      </c>
      <c r="AD60" s="609" t="str">
        <f t="shared" si="11"/>
        <v/>
      </c>
      <c r="AE60" s="609" t="str">
        <f t="shared" si="11"/>
        <v/>
      </c>
      <c r="AF60" s="609" t="str">
        <f t="shared" si="11"/>
        <v/>
      </c>
      <c r="AG60" s="609" t="str">
        <f t="shared" si="11"/>
        <v/>
      </c>
      <c r="AH60" s="609" t="str">
        <f t="shared" si="11"/>
        <v/>
      </c>
      <c r="AI60" s="609" t="str">
        <f t="shared" si="11"/>
        <v/>
      </c>
      <c r="AJ60" s="609" t="str">
        <f t="shared" si="11"/>
        <v/>
      </c>
      <c r="AK60" s="609" t="str">
        <f t="shared" si="11"/>
        <v/>
      </c>
      <c r="AL60" s="609" t="str">
        <f t="shared" si="11"/>
        <v/>
      </c>
      <c r="AM60" s="609" t="str">
        <f t="shared" si="11"/>
        <v/>
      </c>
      <c r="AN60" s="609" t="str">
        <f t="shared" si="11"/>
        <v/>
      </c>
      <c r="AO60" s="609" t="str">
        <f t="shared" si="11"/>
        <v/>
      </c>
      <c r="AP60" s="609" t="str">
        <f t="shared" si="11"/>
        <v/>
      </c>
      <c r="AQ60" s="609" t="str">
        <f t="shared" si="11"/>
        <v/>
      </c>
      <c r="AR60" s="609" t="str">
        <f t="shared" si="11"/>
        <v/>
      </c>
      <c r="AS60" s="609" t="str">
        <f t="shared" si="11"/>
        <v/>
      </c>
      <c r="AT60" s="609" t="str">
        <f t="shared" si="11"/>
        <v/>
      </c>
      <c r="AU60" s="609" t="str">
        <f t="shared" si="11"/>
        <v/>
      </c>
      <c r="AV60" s="609" t="str">
        <f t="shared" si="11"/>
        <v/>
      </c>
      <c r="AW60" s="609" t="str">
        <f t="shared" si="11"/>
        <v/>
      </c>
      <c r="AX60" s="609" t="str">
        <f t="shared" si="11"/>
        <v/>
      </c>
      <c r="AY60" s="609" t="str">
        <f t="shared" si="11"/>
        <v/>
      </c>
      <c r="AZ60" s="609" t="str">
        <f t="shared" si="11"/>
        <v/>
      </c>
      <c r="BA60" s="609" t="str">
        <f t="shared" si="11"/>
        <v/>
      </c>
      <c r="BB60" s="609" t="str">
        <f t="shared" si="11"/>
        <v/>
      </c>
      <c r="BC60" s="609" t="str">
        <f t="shared" si="11"/>
        <v/>
      </c>
      <c r="BD60" s="609" t="str">
        <f t="shared" si="11"/>
        <v/>
      </c>
      <c r="BE60" s="609" t="str">
        <f t="shared" si="11"/>
        <v/>
      </c>
      <c r="BF60" s="609" t="str">
        <f t="shared" si="11"/>
        <v/>
      </c>
      <c r="BG60" s="609" t="str">
        <f t="shared" si="11"/>
        <v/>
      </c>
    </row>
    <row r="61" spans="2:59" x14ac:dyDescent="0.25">
      <c r="B61" s="654">
        <v>55</v>
      </c>
      <c r="C61" s="654"/>
      <c r="D61" s="654"/>
      <c r="E61" s="655"/>
      <c r="F61" s="654"/>
      <c r="H61" s="609" t="str">
        <f t="shared" si="1"/>
        <v/>
      </c>
      <c r="I61" s="609" t="str">
        <f t="shared" si="11"/>
        <v/>
      </c>
      <c r="J61" s="609" t="str">
        <f t="shared" si="11"/>
        <v/>
      </c>
      <c r="K61" s="609" t="str">
        <f t="shared" si="11"/>
        <v/>
      </c>
      <c r="L61" s="609" t="str">
        <f t="shared" si="11"/>
        <v/>
      </c>
      <c r="M61" s="609" t="str">
        <f t="shared" si="11"/>
        <v/>
      </c>
      <c r="N61" s="609" t="str">
        <f t="shared" si="11"/>
        <v/>
      </c>
      <c r="O61" s="609" t="str">
        <f t="shared" si="11"/>
        <v/>
      </c>
      <c r="P61" s="609" t="str">
        <f t="shared" si="11"/>
        <v/>
      </c>
      <c r="Q61" s="609" t="str">
        <f t="shared" si="11"/>
        <v/>
      </c>
      <c r="R61" s="609" t="str">
        <f t="shared" si="11"/>
        <v/>
      </c>
      <c r="S61" s="609" t="str">
        <f t="shared" si="11"/>
        <v/>
      </c>
      <c r="T61" s="609" t="str">
        <f t="shared" si="11"/>
        <v/>
      </c>
      <c r="U61" s="609" t="str">
        <f t="shared" si="11"/>
        <v/>
      </c>
      <c r="V61" s="609" t="str">
        <f t="shared" si="11"/>
        <v/>
      </c>
      <c r="W61" s="609" t="str">
        <f t="shared" si="11"/>
        <v/>
      </c>
      <c r="X61" s="609" t="str">
        <f t="shared" si="11"/>
        <v/>
      </c>
      <c r="Y61" s="609" t="str">
        <f t="shared" si="11"/>
        <v/>
      </c>
      <c r="Z61" s="609" t="str">
        <f t="shared" si="11"/>
        <v/>
      </c>
      <c r="AA61" s="609" t="str">
        <f t="shared" si="11"/>
        <v/>
      </c>
      <c r="AB61" s="609" t="str">
        <f t="shared" si="11"/>
        <v/>
      </c>
      <c r="AC61" s="609" t="str">
        <f t="shared" si="11"/>
        <v/>
      </c>
      <c r="AD61" s="609" t="str">
        <f t="shared" si="11"/>
        <v/>
      </c>
      <c r="AE61" s="609" t="str">
        <f t="shared" si="11"/>
        <v/>
      </c>
      <c r="AF61" s="609" t="str">
        <f t="shared" si="11"/>
        <v/>
      </c>
      <c r="AG61" s="609" t="str">
        <f t="shared" si="11"/>
        <v/>
      </c>
      <c r="AH61" s="609" t="str">
        <f t="shared" si="11"/>
        <v/>
      </c>
      <c r="AI61" s="609" t="str">
        <f t="shared" si="11"/>
        <v/>
      </c>
      <c r="AJ61" s="609" t="str">
        <f t="shared" si="11"/>
        <v/>
      </c>
      <c r="AK61" s="609" t="str">
        <f t="shared" si="11"/>
        <v/>
      </c>
      <c r="AL61" s="609" t="str">
        <f t="shared" si="11"/>
        <v/>
      </c>
      <c r="AM61" s="609" t="str">
        <f t="shared" si="11"/>
        <v/>
      </c>
      <c r="AN61" s="609" t="str">
        <f t="shared" si="11"/>
        <v/>
      </c>
      <c r="AO61" s="609" t="str">
        <f t="shared" si="11"/>
        <v/>
      </c>
      <c r="AP61" s="609" t="str">
        <f t="shared" si="11"/>
        <v/>
      </c>
      <c r="AQ61" s="609" t="str">
        <f t="shared" si="11"/>
        <v/>
      </c>
      <c r="AR61" s="609" t="str">
        <f t="shared" si="11"/>
        <v/>
      </c>
      <c r="AS61" s="609" t="str">
        <f t="shared" si="11"/>
        <v/>
      </c>
      <c r="AT61" s="609" t="str">
        <f t="shared" si="11"/>
        <v/>
      </c>
      <c r="AU61" s="609" t="str">
        <f t="shared" si="11"/>
        <v/>
      </c>
      <c r="AV61" s="609" t="str">
        <f t="shared" si="11"/>
        <v/>
      </c>
      <c r="AW61" s="609" t="str">
        <f t="shared" si="11"/>
        <v/>
      </c>
      <c r="AX61" s="609" t="str">
        <f t="shared" si="11"/>
        <v/>
      </c>
      <c r="AY61" s="609" t="str">
        <f t="shared" si="11"/>
        <v/>
      </c>
      <c r="AZ61" s="609" t="str">
        <f t="shared" si="11"/>
        <v/>
      </c>
      <c r="BA61" s="609" t="str">
        <f t="shared" si="11"/>
        <v/>
      </c>
      <c r="BB61" s="609" t="str">
        <f t="shared" si="11"/>
        <v/>
      </c>
      <c r="BC61" s="609" t="str">
        <f t="shared" si="11"/>
        <v/>
      </c>
      <c r="BD61" s="609" t="str">
        <f t="shared" si="11"/>
        <v/>
      </c>
      <c r="BE61" s="609" t="str">
        <f t="shared" si="11"/>
        <v/>
      </c>
      <c r="BF61" s="609" t="str">
        <f t="shared" si="11"/>
        <v/>
      </c>
      <c r="BG61" s="609" t="str">
        <f t="shared" si="11"/>
        <v/>
      </c>
    </row>
    <row r="62" spans="2:59" x14ac:dyDescent="0.25">
      <c r="B62" s="654">
        <v>56</v>
      </c>
      <c r="C62" s="654"/>
      <c r="D62" s="654"/>
      <c r="E62" s="655"/>
      <c r="F62" s="654"/>
      <c r="H62" s="609" t="str">
        <f t="shared" si="1"/>
        <v/>
      </c>
      <c r="I62" s="609" t="str">
        <f t="shared" si="11"/>
        <v/>
      </c>
      <c r="J62" s="609" t="str">
        <f t="shared" si="11"/>
        <v/>
      </c>
      <c r="K62" s="609" t="str">
        <f t="shared" si="11"/>
        <v/>
      </c>
      <c r="L62" s="609" t="str">
        <f t="shared" si="11"/>
        <v/>
      </c>
      <c r="M62" s="609" t="str">
        <f t="shared" si="11"/>
        <v/>
      </c>
      <c r="N62" s="609" t="str">
        <f t="shared" si="11"/>
        <v/>
      </c>
      <c r="O62" s="609" t="str">
        <f t="shared" si="11"/>
        <v/>
      </c>
      <c r="P62" s="609" t="str">
        <f t="shared" si="11"/>
        <v/>
      </c>
      <c r="Q62" s="609" t="str">
        <f t="shared" si="11"/>
        <v/>
      </c>
      <c r="R62" s="609" t="str">
        <f t="shared" si="11"/>
        <v/>
      </c>
      <c r="S62" s="609" t="str">
        <f t="shared" si="11"/>
        <v/>
      </c>
      <c r="T62" s="609" t="str">
        <f t="shared" si="11"/>
        <v/>
      </c>
      <c r="U62" s="609" t="str">
        <f t="shared" si="11"/>
        <v/>
      </c>
      <c r="V62" s="609" t="str">
        <f t="shared" si="11"/>
        <v/>
      </c>
      <c r="W62" s="609" t="str">
        <f t="shared" si="11"/>
        <v/>
      </c>
      <c r="X62" s="609" t="str">
        <f t="shared" ref="I62:BG67" si="12">IF($D62=X$6,$B62&amp;", ","")</f>
        <v/>
      </c>
      <c r="Y62" s="609" t="str">
        <f t="shared" si="12"/>
        <v/>
      </c>
      <c r="Z62" s="609" t="str">
        <f t="shared" si="12"/>
        <v/>
      </c>
      <c r="AA62" s="609" t="str">
        <f t="shared" si="12"/>
        <v/>
      </c>
      <c r="AB62" s="609" t="str">
        <f t="shared" si="12"/>
        <v/>
      </c>
      <c r="AC62" s="609" t="str">
        <f t="shared" si="12"/>
        <v/>
      </c>
      <c r="AD62" s="609" t="str">
        <f t="shared" si="12"/>
        <v/>
      </c>
      <c r="AE62" s="609" t="str">
        <f t="shared" si="12"/>
        <v/>
      </c>
      <c r="AF62" s="609" t="str">
        <f t="shared" si="12"/>
        <v/>
      </c>
      <c r="AG62" s="609" t="str">
        <f t="shared" si="12"/>
        <v/>
      </c>
      <c r="AH62" s="609" t="str">
        <f t="shared" si="12"/>
        <v/>
      </c>
      <c r="AI62" s="609" t="str">
        <f t="shared" si="12"/>
        <v/>
      </c>
      <c r="AJ62" s="609" t="str">
        <f t="shared" si="12"/>
        <v/>
      </c>
      <c r="AK62" s="609" t="str">
        <f t="shared" si="12"/>
        <v/>
      </c>
      <c r="AL62" s="609" t="str">
        <f t="shared" si="12"/>
        <v/>
      </c>
      <c r="AM62" s="609" t="str">
        <f t="shared" si="12"/>
        <v/>
      </c>
      <c r="AN62" s="609" t="str">
        <f t="shared" si="12"/>
        <v/>
      </c>
      <c r="AO62" s="609" t="str">
        <f t="shared" si="12"/>
        <v/>
      </c>
      <c r="AP62" s="609" t="str">
        <f t="shared" si="12"/>
        <v/>
      </c>
      <c r="AQ62" s="609" t="str">
        <f t="shared" si="12"/>
        <v/>
      </c>
      <c r="AR62" s="609" t="str">
        <f t="shared" si="12"/>
        <v/>
      </c>
      <c r="AS62" s="609" t="str">
        <f t="shared" si="12"/>
        <v/>
      </c>
      <c r="AT62" s="609" t="str">
        <f t="shared" si="12"/>
        <v/>
      </c>
      <c r="AU62" s="609" t="str">
        <f t="shared" si="12"/>
        <v/>
      </c>
      <c r="AV62" s="609" t="str">
        <f t="shared" si="12"/>
        <v/>
      </c>
      <c r="AW62" s="609" t="str">
        <f t="shared" si="12"/>
        <v/>
      </c>
      <c r="AX62" s="609" t="str">
        <f t="shared" si="12"/>
        <v/>
      </c>
      <c r="AY62" s="609" t="str">
        <f t="shared" si="12"/>
        <v/>
      </c>
      <c r="AZ62" s="609" t="str">
        <f t="shared" si="12"/>
        <v/>
      </c>
      <c r="BA62" s="609" t="str">
        <f t="shared" si="12"/>
        <v/>
      </c>
      <c r="BB62" s="609" t="str">
        <f t="shared" si="12"/>
        <v/>
      </c>
      <c r="BC62" s="609" t="str">
        <f t="shared" si="12"/>
        <v/>
      </c>
      <c r="BD62" s="609" t="str">
        <f t="shared" si="12"/>
        <v/>
      </c>
      <c r="BE62" s="609" t="str">
        <f t="shared" si="12"/>
        <v/>
      </c>
      <c r="BF62" s="609" t="str">
        <f t="shared" si="12"/>
        <v/>
      </c>
      <c r="BG62" s="609" t="str">
        <f t="shared" si="12"/>
        <v/>
      </c>
    </row>
    <row r="63" spans="2:59" x14ac:dyDescent="0.25">
      <c r="B63" s="654">
        <v>57</v>
      </c>
      <c r="C63" s="654"/>
      <c r="D63" s="654"/>
      <c r="E63" s="655"/>
      <c r="F63" s="654"/>
      <c r="H63" s="609" t="str">
        <f t="shared" si="1"/>
        <v/>
      </c>
      <c r="I63" s="609" t="str">
        <f t="shared" si="12"/>
        <v/>
      </c>
      <c r="J63" s="609" t="str">
        <f t="shared" si="12"/>
        <v/>
      </c>
      <c r="K63" s="609" t="str">
        <f t="shared" si="12"/>
        <v/>
      </c>
      <c r="L63" s="609" t="str">
        <f t="shared" si="12"/>
        <v/>
      </c>
      <c r="M63" s="609" t="str">
        <f t="shared" si="12"/>
        <v/>
      </c>
      <c r="N63" s="609" t="str">
        <f t="shared" si="12"/>
        <v/>
      </c>
      <c r="O63" s="609" t="str">
        <f t="shared" si="12"/>
        <v/>
      </c>
      <c r="P63" s="609" t="str">
        <f t="shared" si="12"/>
        <v/>
      </c>
      <c r="Q63" s="609" t="str">
        <f t="shared" si="12"/>
        <v/>
      </c>
      <c r="R63" s="609" t="str">
        <f t="shared" si="12"/>
        <v/>
      </c>
      <c r="S63" s="609" t="str">
        <f t="shared" si="12"/>
        <v/>
      </c>
      <c r="T63" s="609" t="str">
        <f t="shared" si="12"/>
        <v/>
      </c>
      <c r="U63" s="609" t="str">
        <f t="shared" si="12"/>
        <v/>
      </c>
      <c r="V63" s="609" t="str">
        <f t="shared" si="12"/>
        <v/>
      </c>
      <c r="W63" s="609" t="str">
        <f t="shared" si="12"/>
        <v/>
      </c>
      <c r="X63" s="609" t="str">
        <f t="shared" si="12"/>
        <v/>
      </c>
      <c r="Y63" s="609" t="str">
        <f t="shared" si="12"/>
        <v/>
      </c>
      <c r="Z63" s="609" t="str">
        <f t="shared" si="12"/>
        <v/>
      </c>
      <c r="AA63" s="609" t="str">
        <f t="shared" si="12"/>
        <v/>
      </c>
      <c r="AB63" s="609" t="str">
        <f t="shared" si="12"/>
        <v/>
      </c>
      <c r="AC63" s="609" t="str">
        <f t="shared" si="12"/>
        <v/>
      </c>
      <c r="AD63" s="609" t="str">
        <f t="shared" si="12"/>
        <v/>
      </c>
      <c r="AE63" s="609" t="str">
        <f t="shared" si="12"/>
        <v/>
      </c>
      <c r="AF63" s="609" t="str">
        <f t="shared" si="12"/>
        <v/>
      </c>
      <c r="AG63" s="609" t="str">
        <f t="shared" si="12"/>
        <v/>
      </c>
      <c r="AH63" s="609" t="str">
        <f t="shared" si="12"/>
        <v/>
      </c>
      <c r="AI63" s="609" t="str">
        <f t="shared" si="12"/>
        <v/>
      </c>
      <c r="AJ63" s="609" t="str">
        <f t="shared" si="12"/>
        <v/>
      </c>
      <c r="AK63" s="609" t="str">
        <f t="shared" si="12"/>
        <v/>
      </c>
      <c r="AL63" s="609" t="str">
        <f t="shared" si="12"/>
        <v/>
      </c>
      <c r="AM63" s="609" t="str">
        <f t="shared" si="12"/>
        <v/>
      </c>
      <c r="AN63" s="609" t="str">
        <f t="shared" si="12"/>
        <v/>
      </c>
      <c r="AO63" s="609" t="str">
        <f t="shared" si="12"/>
        <v/>
      </c>
      <c r="AP63" s="609" t="str">
        <f t="shared" si="12"/>
        <v/>
      </c>
      <c r="AQ63" s="609" t="str">
        <f t="shared" si="12"/>
        <v/>
      </c>
      <c r="AR63" s="609" t="str">
        <f t="shared" si="12"/>
        <v/>
      </c>
      <c r="AS63" s="609" t="str">
        <f t="shared" si="12"/>
        <v/>
      </c>
      <c r="AT63" s="609" t="str">
        <f t="shared" si="12"/>
        <v/>
      </c>
      <c r="AU63" s="609" t="str">
        <f t="shared" si="12"/>
        <v/>
      </c>
      <c r="AV63" s="609" t="str">
        <f t="shared" si="12"/>
        <v/>
      </c>
      <c r="AW63" s="609" t="str">
        <f t="shared" si="12"/>
        <v/>
      </c>
      <c r="AX63" s="609" t="str">
        <f t="shared" si="12"/>
        <v/>
      </c>
      <c r="AY63" s="609" t="str">
        <f t="shared" si="12"/>
        <v/>
      </c>
      <c r="AZ63" s="609" t="str">
        <f t="shared" si="12"/>
        <v/>
      </c>
      <c r="BA63" s="609" t="str">
        <f t="shared" si="12"/>
        <v/>
      </c>
      <c r="BB63" s="609" t="str">
        <f t="shared" si="12"/>
        <v/>
      </c>
      <c r="BC63" s="609" t="str">
        <f t="shared" si="12"/>
        <v/>
      </c>
      <c r="BD63" s="609" t="str">
        <f t="shared" si="12"/>
        <v/>
      </c>
      <c r="BE63" s="609" t="str">
        <f t="shared" si="12"/>
        <v/>
      </c>
      <c r="BF63" s="609" t="str">
        <f t="shared" si="12"/>
        <v/>
      </c>
      <c r="BG63" s="609" t="str">
        <f t="shared" si="12"/>
        <v/>
      </c>
    </row>
    <row r="64" spans="2:59" x14ac:dyDescent="0.25">
      <c r="B64" s="654">
        <v>58</v>
      </c>
      <c r="C64" s="654"/>
      <c r="D64" s="654"/>
      <c r="E64" s="655"/>
      <c r="F64" s="654"/>
      <c r="H64" s="609" t="str">
        <f t="shared" si="1"/>
        <v/>
      </c>
      <c r="I64" s="609" t="str">
        <f t="shared" si="12"/>
        <v/>
      </c>
      <c r="J64" s="609" t="str">
        <f t="shared" si="12"/>
        <v/>
      </c>
      <c r="K64" s="609" t="str">
        <f t="shared" si="12"/>
        <v/>
      </c>
      <c r="L64" s="609" t="str">
        <f t="shared" si="12"/>
        <v/>
      </c>
      <c r="M64" s="609" t="str">
        <f t="shared" si="12"/>
        <v/>
      </c>
      <c r="N64" s="609" t="str">
        <f t="shared" si="12"/>
        <v/>
      </c>
      <c r="O64" s="609" t="str">
        <f t="shared" si="12"/>
        <v/>
      </c>
      <c r="P64" s="609" t="str">
        <f t="shared" si="12"/>
        <v/>
      </c>
      <c r="Q64" s="609" t="str">
        <f t="shared" si="12"/>
        <v/>
      </c>
      <c r="R64" s="609" t="str">
        <f t="shared" si="12"/>
        <v/>
      </c>
      <c r="S64" s="609" t="str">
        <f t="shared" si="12"/>
        <v/>
      </c>
      <c r="T64" s="609" t="str">
        <f t="shared" si="12"/>
        <v/>
      </c>
      <c r="U64" s="609" t="str">
        <f t="shared" si="12"/>
        <v/>
      </c>
      <c r="V64" s="609" t="str">
        <f t="shared" si="12"/>
        <v/>
      </c>
      <c r="W64" s="609" t="str">
        <f t="shared" si="12"/>
        <v/>
      </c>
      <c r="X64" s="609" t="str">
        <f t="shared" si="12"/>
        <v/>
      </c>
      <c r="Y64" s="609" t="str">
        <f t="shared" si="12"/>
        <v/>
      </c>
      <c r="Z64" s="609" t="str">
        <f t="shared" si="12"/>
        <v/>
      </c>
      <c r="AA64" s="609" t="str">
        <f t="shared" si="12"/>
        <v/>
      </c>
      <c r="AB64" s="609" t="str">
        <f t="shared" si="12"/>
        <v/>
      </c>
      <c r="AC64" s="609" t="str">
        <f t="shared" si="12"/>
        <v/>
      </c>
      <c r="AD64" s="609" t="str">
        <f t="shared" si="12"/>
        <v/>
      </c>
      <c r="AE64" s="609" t="str">
        <f t="shared" si="12"/>
        <v/>
      </c>
      <c r="AF64" s="609" t="str">
        <f t="shared" si="12"/>
        <v/>
      </c>
      <c r="AG64" s="609" t="str">
        <f t="shared" si="12"/>
        <v/>
      </c>
      <c r="AH64" s="609" t="str">
        <f t="shared" si="12"/>
        <v/>
      </c>
      <c r="AI64" s="609" t="str">
        <f t="shared" si="12"/>
        <v/>
      </c>
      <c r="AJ64" s="609" t="str">
        <f t="shared" si="12"/>
        <v/>
      </c>
      <c r="AK64" s="609" t="str">
        <f t="shared" si="12"/>
        <v/>
      </c>
      <c r="AL64" s="609" t="str">
        <f t="shared" si="12"/>
        <v/>
      </c>
      <c r="AM64" s="609" t="str">
        <f t="shared" si="12"/>
        <v/>
      </c>
      <c r="AN64" s="609" t="str">
        <f t="shared" si="12"/>
        <v/>
      </c>
      <c r="AO64" s="609" t="str">
        <f t="shared" si="12"/>
        <v/>
      </c>
      <c r="AP64" s="609" t="str">
        <f t="shared" si="12"/>
        <v/>
      </c>
      <c r="AQ64" s="609" t="str">
        <f t="shared" si="12"/>
        <v/>
      </c>
      <c r="AR64" s="609" t="str">
        <f t="shared" si="12"/>
        <v/>
      </c>
      <c r="AS64" s="609" t="str">
        <f t="shared" si="12"/>
        <v/>
      </c>
      <c r="AT64" s="609" t="str">
        <f t="shared" si="12"/>
        <v/>
      </c>
      <c r="AU64" s="609" t="str">
        <f t="shared" si="12"/>
        <v/>
      </c>
      <c r="AV64" s="609" t="str">
        <f t="shared" si="12"/>
        <v/>
      </c>
      <c r="AW64" s="609" t="str">
        <f t="shared" si="12"/>
        <v/>
      </c>
      <c r="AX64" s="609" t="str">
        <f t="shared" si="12"/>
        <v/>
      </c>
      <c r="AY64" s="609" t="str">
        <f t="shared" si="12"/>
        <v/>
      </c>
      <c r="AZ64" s="609" t="str">
        <f t="shared" si="12"/>
        <v/>
      </c>
      <c r="BA64" s="609" t="str">
        <f t="shared" si="12"/>
        <v/>
      </c>
      <c r="BB64" s="609" t="str">
        <f t="shared" si="12"/>
        <v/>
      </c>
      <c r="BC64" s="609" t="str">
        <f t="shared" si="12"/>
        <v/>
      </c>
      <c r="BD64" s="609" t="str">
        <f t="shared" si="12"/>
        <v/>
      </c>
      <c r="BE64" s="609" t="str">
        <f t="shared" si="12"/>
        <v/>
      </c>
      <c r="BF64" s="609" t="str">
        <f t="shared" si="12"/>
        <v/>
      </c>
      <c r="BG64" s="609" t="str">
        <f t="shared" si="12"/>
        <v/>
      </c>
    </row>
    <row r="65" spans="2:59" x14ac:dyDescent="0.25">
      <c r="B65" s="654">
        <v>59</v>
      </c>
      <c r="C65" s="654"/>
      <c r="D65" s="654"/>
      <c r="E65" s="655"/>
      <c r="F65" s="654"/>
      <c r="H65" s="609" t="str">
        <f t="shared" si="1"/>
        <v/>
      </c>
      <c r="I65" s="609" t="str">
        <f t="shared" si="12"/>
        <v/>
      </c>
      <c r="J65" s="609" t="str">
        <f t="shared" si="12"/>
        <v/>
      </c>
      <c r="K65" s="609" t="str">
        <f t="shared" si="12"/>
        <v/>
      </c>
      <c r="L65" s="609" t="str">
        <f t="shared" si="12"/>
        <v/>
      </c>
      <c r="M65" s="609" t="str">
        <f t="shared" si="12"/>
        <v/>
      </c>
      <c r="N65" s="609" t="str">
        <f t="shared" si="12"/>
        <v/>
      </c>
      <c r="O65" s="609" t="str">
        <f t="shared" si="12"/>
        <v/>
      </c>
      <c r="P65" s="609" t="str">
        <f t="shared" si="12"/>
        <v/>
      </c>
      <c r="Q65" s="609" t="str">
        <f t="shared" si="12"/>
        <v/>
      </c>
      <c r="R65" s="609" t="str">
        <f t="shared" si="12"/>
        <v/>
      </c>
      <c r="S65" s="609" t="str">
        <f t="shared" si="12"/>
        <v/>
      </c>
      <c r="T65" s="609" t="str">
        <f t="shared" si="12"/>
        <v/>
      </c>
      <c r="U65" s="609" t="str">
        <f t="shared" si="12"/>
        <v/>
      </c>
      <c r="V65" s="609" t="str">
        <f t="shared" si="12"/>
        <v/>
      </c>
      <c r="W65" s="609" t="str">
        <f t="shared" si="12"/>
        <v/>
      </c>
      <c r="X65" s="609" t="str">
        <f t="shared" si="12"/>
        <v/>
      </c>
      <c r="Y65" s="609" t="str">
        <f t="shared" si="12"/>
        <v/>
      </c>
      <c r="Z65" s="609" t="str">
        <f t="shared" si="12"/>
        <v/>
      </c>
      <c r="AA65" s="609" t="str">
        <f t="shared" si="12"/>
        <v/>
      </c>
      <c r="AB65" s="609" t="str">
        <f t="shared" si="12"/>
        <v/>
      </c>
      <c r="AC65" s="609" t="str">
        <f t="shared" si="12"/>
        <v/>
      </c>
      <c r="AD65" s="609" t="str">
        <f t="shared" si="12"/>
        <v/>
      </c>
      <c r="AE65" s="609" t="str">
        <f t="shared" si="12"/>
        <v/>
      </c>
      <c r="AF65" s="609" t="str">
        <f t="shared" si="12"/>
        <v/>
      </c>
      <c r="AG65" s="609" t="str">
        <f t="shared" si="12"/>
        <v/>
      </c>
      <c r="AH65" s="609" t="str">
        <f t="shared" si="12"/>
        <v/>
      </c>
      <c r="AI65" s="609" t="str">
        <f t="shared" si="12"/>
        <v/>
      </c>
      <c r="AJ65" s="609" t="str">
        <f t="shared" si="12"/>
        <v/>
      </c>
      <c r="AK65" s="609" t="str">
        <f t="shared" si="12"/>
        <v/>
      </c>
      <c r="AL65" s="609" t="str">
        <f t="shared" si="12"/>
        <v/>
      </c>
      <c r="AM65" s="609" t="str">
        <f t="shared" si="12"/>
        <v/>
      </c>
      <c r="AN65" s="609" t="str">
        <f t="shared" si="12"/>
        <v/>
      </c>
      <c r="AO65" s="609" t="str">
        <f t="shared" si="12"/>
        <v/>
      </c>
      <c r="AP65" s="609" t="str">
        <f t="shared" si="12"/>
        <v/>
      </c>
      <c r="AQ65" s="609" t="str">
        <f t="shared" si="12"/>
        <v/>
      </c>
      <c r="AR65" s="609" t="str">
        <f t="shared" si="12"/>
        <v/>
      </c>
      <c r="AS65" s="609" t="str">
        <f t="shared" si="12"/>
        <v/>
      </c>
      <c r="AT65" s="609" t="str">
        <f t="shared" si="12"/>
        <v/>
      </c>
      <c r="AU65" s="609" t="str">
        <f t="shared" si="12"/>
        <v/>
      </c>
      <c r="AV65" s="609" t="str">
        <f t="shared" si="12"/>
        <v/>
      </c>
      <c r="AW65" s="609" t="str">
        <f t="shared" si="12"/>
        <v/>
      </c>
      <c r="AX65" s="609" t="str">
        <f t="shared" si="12"/>
        <v/>
      </c>
      <c r="AY65" s="609" t="str">
        <f t="shared" si="12"/>
        <v/>
      </c>
      <c r="AZ65" s="609" t="str">
        <f t="shared" si="12"/>
        <v/>
      </c>
      <c r="BA65" s="609" t="str">
        <f t="shared" si="12"/>
        <v/>
      </c>
      <c r="BB65" s="609" t="str">
        <f t="shared" si="12"/>
        <v/>
      </c>
      <c r="BC65" s="609" t="str">
        <f t="shared" si="12"/>
        <v/>
      </c>
      <c r="BD65" s="609" t="str">
        <f t="shared" si="12"/>
        <v/>
      </c>
      <c r="BE65" s="609" t="str">
        <f t="shared" si="12"/>
        <v/>
      </c>
      <c r="BF65" s="609" t="str">
        <f t="shared" si="12"/>
        <v/>
      </c>
      <c r="BG65" s="609" t="str">
        <f t="shared" si="12"/>
        <v/>
      </c>
    </row>
    <row r="66" spans="2:59" x14ac:dyDescent="0.25">
      <c r="B66" s="654">
        <v>60</v>
      </c>
      <c r="C66" s="654"/>
      <c r="D66" s="654"/>
      <c r="E66" s="655"/>
      <c r="F66" s="654"/>
      <c r="H66" s="609" t="str">
        <f t="shared" si="1"/>
        <v/>
      </c>
      <c r="I66" s="609" t="str">
        <f t="shared" si="12"/>
        <v/>
      </c>
      <c r="J66" s="609" t="str">
        <f t="shared" si="12"/>
        <v/>
      </c>
      <c r="K66" s="609" t="str">
        <f t="shared" si="12"/>
        <v/>
      </c>
      <c r="L66" s="609" t="str">
        <f t="shared" si="12"/>
        <v/>
      </c>
      <c r="M66" s="609" t="str">
        <f t="shared" si="12"/>
        <v/>
      </c>
      <c r="N66" s="609" t="str">
        <f t="shared" si="12"/>
        <v/>
      </c>
      <c r="O66" s="609" t="str">
        <f t="shared" si="12"/>
        <v/>
      </c>
      <c r="P66" s="609" t="str">
        <f t="shared" si="12"/>
        <v/>
      </c>
      <c r="Q66" s="609" t="str">
        <f t="shared" si="12"/>
        <v/>
      </c>
      <c r="R66" s="609" t="str">
        <f t="shared" si="12"/>
        <v/>
      </c>
      <c r="S66" s="609" t="str">
        <f t="shared" si="12"/>
        <v/>
      </c>
      <c r="T66" s="609" t="str">
        <f t="shared" si="12"/>
        <v/>
      </c>
      <c r="U66" s="609" t="str">
        <f t="shared" si="12"/>
        <v/>
      </c>
      <c r="V66" s="609" t="str">
        <f t="shared" si="12"/>
        <v/>
      </c>
      <c r="W66" s="609" t="str">
        <f t="shared" si="12"/>
        <v/>
      </c>
      <c r="X66" s="609" t="str">
        <f t="shared" si="12"/>
        <v/>
      </c>
      <c r="Y66" s="609" t="str">
        <f t="shared" si="12"/>
        <v/>
      </c>
      <c r="Z66" s="609" t="str">
        <f t="shared" si="12"/>
        <v/>
      </c>
      <c r="AA66" s="609" t="str">
        <f t="shared" si="12"/>
        <v/>
      </c>
      <c r="AB66" s="609" t="str">
        <f t="shared" si="12"/>
        <v/>
      </c>
      <c r="AC66" s="609" t="str">
        <f t="shared" si="12"/>
        <v/>
      </c>
      <c r="AD66" s="609" t="str">
        <f t="shared" si="12"/>
        <v/>
      </c>
      <c r="AE66" s="609" t="str">
        <f t="shared" si="12"/>
        <v/>
      </c>
      <c r="AF66" s="609" t="str">
        <f t="shared" si="12"/>
        <v/>
      </c>
      <c r="AG66" s="609" t="str">
        <f t="shared" si="12"/>
        <v/>
      </c>
      <c r="AH66" s="609" t="str">
        <f t="shared" si="12"/>
        <v/>
      </c>
      <c r="AI66" s="609" t="str">
        <f t="shared" si="12"/>
        <v/>
      </c>
      <c r="AJ66" s="609" t="str">
        <f t="shared" si="12"/>
        <v/>
      </c>
      <c r="AK66" s="609" t="str">
        <f t="shared" si="12"/>
        <v/>
      </c>
      <c r="AL66" s="609" t="str">
        <f t="shared" si="12"/>
        <v/>
      </c>
      <c r="AM66" s="609" t="str">
        <f t="shared" si="12"/>
        <v/>
      </c>
      <c r="AN66" s="609" t="str">
        <f t="shared" si="12"/>
        <v/>
      </c>
      <c r="AO66" s="609" t="str">
        <f t="shared" si="12"/>
        <v/>
      </c>
      <c r="AP66" s="609" t="str">
        <f t="shared" si="12"/>
        <v/>
      </c>
      <c r="AQ66" s="609" t="str">
        <f t="shared" si="12"/>
        <v/>
      </c>
      <c r="AR66" s="609" t="str">
        <f t="shared" si="12"/>
        <v/>
      </c>
      <c r="AS66" s="609" t="str">
        <f t="shared" si="12"/>
        <v/>
      </c>
      <c r="AT66" s="609" t="str">
        <f t="shared" si="12"/>
        <v/>
      </c>
      <c r="AU66" s="609" t="str">
        <f t="shared" si="12"/>
        <v/>
      </c>
      <c r="AV66" s="609" t="str">
        <f t="shared" si="12"/>
        <v/>
      </c>
      <c r="AW66" s="609" t="str">
        <f t="shared" si="12"/>
        <v/>
      </c>
      <c r="AX66" s="609" t="str">
        <f t="shared" si="12"/>
        <v/>
      </c>
      <c r="AY66" s="609" t="str">
        <f t="shared" si="12"/>
        <v/>
      </c>
      <c r="AZ66" s="609" t="str">
        <f t="shared" si="12"/>
        <v/>
      </c>
      <c r="BA66" s="609" t="str">
        <f t="shared" si="12"/>
        <v/>
      </c>
      <c r="BB66" s="609" t="str">
        <f t="shared" si="12"/>
        <v/>
      </c>
      <c r="BC66" s="609" t="str">
        <f t="shared" si="12"/>
        <v/>
      </c>
      <c r="BD66" s="609" t="str">
        <f t="shared" si="12"/>
        <v/>
      </c>
      <c r="BE66" s="609" t="str">
        <f t="shared" si="12"/>
        <v/>
      </c>
      <c r="BF66" s="609" t="str">
        <f t="shared" si="12"/>
        <v/>
      </c>
      <c r="BG66" s="609" t="str">
        <f t="shared" si="12"/>
        <v/>
      </c>
    </row>
    <row r="67" spans="2:59" x14ac:dyDescent="0.25">
      <c r="B67" s="654">
        <v>61</v>
      </c>
      <c r="C67" s="654"/>
      <c r="D67" s="654"/>
      <c r="E67" s="655"/>
      <c r="F67" s="654"/>
      <c r="H67" s="609" t="str">
        <f t="shared" si="1"/>
        <v/>
      </c>
      <c r="I67" s="609" t="str">
        <f t="shared" si="12"/>
        <v/>
      </c>
      <c r="J67" s="609" t="str">
        <f t="shared" si="12"/>
        <v/>
      </c>
      <c r="K67" s="609" t="str">
        <f t="shared" si="12"/>
        <v/>
      </c>
      <c r="L67" s="609" t="str">
        <f t="shared" si="12"/>
        <v/>
      </c>
      <c r="M67" s="609" t="str">
        <f t="shared" si="12"/>
        <v/>
      </c>
      <c r="N67" s="609" t="str">
        <f t="shared" si="12"/>
        <v/>
      </c>
      <c r="O67" s="609" t="str">
        <f t="shared" si="12"/>
        <v/>
      </c>
      <c r="P67" s="609" t="str">
        <f t="shared" si="12"/>
        <v/>
      </c>
      <c r="Q67" s="609" t="str">
        <f t="shared" si="12"/>
        <v/>
      </c>
      <c r="R67" s="609" t="str">
        <f t="shared" si="12"/>
        <v/>
      </c>
      <c r="S67" s="609" t="str">
        <f t="shared" si="12"/>
        <v/>
      </c>
      <c r="T67" s="609" t="str">
        <f t="shared" si="12"/>
        <v/>
      </c>
      <c r="U67" s="609" t="str">
        <f t="shared" si="12"/>
        <v/>
      </c>
      <c r="V67" s="609" t="str">
        <f t="shared" si="12"/>
        <v/>
      </c>
      <c r="W67" s="609" t="str">
        <f t="shared" si="12"/>
        <v/>
      </c>
      <c r="X67" s="609" t="str">
        <f t="shared" ref="I67:BG72" si="13">IF($D67=X$6,$B67&amp;", ","")</f>
        <v/>
      </c>
      <c r="Y67" s="609" t="str">
        <f t="shared" si="13"/>
        <v/>
      </c>
      <c r="Z67" s="609" t="str">
        <f t="shared" si="13"/>
        <v/>
      </c>
      <c r="AA67" s="609" t="str">
        <f t="shared" si="13"/>
        <v/>
      </c>
      <c r="AB67" s="609" t="str">
        <f t="shared" si="13"/>
        <v/>
      </c>
      <c r="AC67" s="609" t="str">
        <f t="shared" si="13"/>
        <v/>
      </c>
      <c r="AD67" s="609" t="str">
        <f t="shared" si="13"/>
        <v/>
      </c>
      <c r="AE67" s="609" t="str">
        <f t="shared" si="13"/>
        <v/>
      </c>
      <c r="AF67" s="609" t="str">
        <f t="shared" si="13"/>
        <v/>
      </c>
      <c r="AG67" s="609" t="str">
        <f t="shared" si="13"/>
        <v/>
      </c>
      <c r="AH67" s="609" t="str">
        <f t="shared" si="13"/>
        <v/>
      </c>
      <c r="AI67" s="609" t="str">
        <f t="shared" si="13"/>
        <v/>
      </c>
      <c r="AJ67" s="609" t="str">
        <f t="shared" si="13"/>
        <v/>
      </c>
      <c r="AK67" s="609" t="str">
        <f t="shared" si="13"/>
        <v/>
      </c>
      <c r="AL67" s="609" t="str">
        <f t="shared" si="13"/>
        <v/>
      </c>
      <c r="AM67" s="609" t="str">
        <f t="shared" si="13"/>
        <v/>
      </c>
      <c r="AN67" s="609" t="str">
        <f t="shared" si="13"/>
        <v/>
      </c>
      <c r="AO67" s="609" t="str">
        <f t="shared" si="13"/>
        <v/>
      </c>
      <c r="AP67" s="609" t="str">
        <f t="shared" si="13"/>
        <v/>
      </c>
      <c r="AQ67" s="609" t="str">
        <f t="shared" si="13"/>
        <v/>
      </c>
      <c r="AR67" s="609" t="str">
        <f t="shared" si="13"/>
        <v/>
      </c>
      <c r="AS67" s="609" t="str">
        <f t="shared" si="13"/>
        <v/>
      </c>
      <c r="AT67" s="609" t="str">
        <f t="shared" si="13"/>
        <v/>
      </c>
      <c r="AU67" s="609" t="str">
        <f t="shared" si="13"/>
        <v/>
      </c>
      <c r="AV67" s="609" t="str">
        <f t="shared" si="13"/>
        <v/>
      </c>
      <c r="AW67" s="609" t="str">
        <f t="shared" si="13"/>
        <v/>
      </c>
      <c r="AX67" s="609" t="str">
        <f t="shared" si="13"/>
        <v/>
      </c>
      <c r="AY67" s="609" t="str">
        <f t="shared" si="13"/>
        <v/>
      </c>
      <c r="AZ67" s="609" t="str">
        <f t="shared" si="13"/>
        <v/>
      </c>
      <c r="BA67" s="609" t="str">
        <f t="shared" si="13"/>
        <v/>
      </c>
      <c r="BB67" s="609" t="str">
        <f t="shared" si="13"/>
        <v/>
      </c>
      <c r="BC67" s="609" t="str">
        <f t="shared" si="13"/>
        <v/>
      </c>
      <c r="BD67" s="609" t="str">
        <f t="shared" si="13"/>
        <v/>
      </c>
      <c r="BE67" s="609" t="str">
        <f t="shared" si="13"/>
        <v/>
      </c>
      <c r="BF67" s="609" t="str">
        <f t="shared" si="13"/>
        <v/>
      </c>
      <c r="BG67" s="609" t="str">
        <f t="shared" si="13"/>
        <v/>
      </c>
    </row>
    <row r="68" spans="2:59" x14ac:dyDescent="0.25">
      <c r="B68" s="654">
        <v>62</v>
      </c>
      <c r="C68" s="654"/>
      <c r="D68" s="654"/>
      <c r="E68" s="655"/>
      <c r="F68" s="654"/>
      <c r="H68" s="609" t="str">
        <f t="shared" si="1"/>
        <v/>
      </c>
      <c r="I68" s="609" t="str">
        <f t="shared" si="13"/>
        <v/>
      </c>
      <c r="J68" s="609" t="str">
        <f t="shared" si="13"/>
        <v/>
      </c>
      <c r="K68" s="609" t="str">
        <f t="shared" si="13"/>
        <v/>
      </c>
      <c r="L68" s="609" t="str">
        <f t="shared" si="13"/>
        <v/>
      </c>
      <c r="M68" s="609" t="str">
        <f t="shared" si="13"/>
        <v/>
      </c>
      <c r="N68" s="609" t="str">
        <f t="shared" si="13"/>
        <v/>
      </c>
      <c r="O68" s="609" t="str">
        <f t="shared" si="13"/>
        <v/>
      </c>
      <c r="P68" s="609" t="str">
        <f t="shared" si="13"/>
        <v/>
      </c>
      <c r="Q68" s="609" t="str">
        <f t="shared" si="13"/>
        <v/>
      </c>
      <c r="R68" s="609" t="str">
        <f t="shared" si="13"/>
        <v/>
      </c>
      <c r="S68" s="609" t="str">
        <f t="shared" si="13"/>
        <v/>
      </c>
      <c r="T68" s="609" t="str">
        <f t="shared" si="13"/>
        <v/>
      </c>
      <c r="U68" s="609" t="str">
        <f t="shared" si="13"/>
        <v/>
      </c>
      <c r="V68" s="609" t="str">
        <f t="shared" si="13"/>
        <v/>
      </c>
      <c r="W68" s="609" t="str">
        <f t="shared" si="13"/>
        <v/>
      </c>
      <c r="X68" s="609" t="str">
        <f t="shared" si="13"/>
        <v/>
      </c>
      <c r="Y68" s="609" t="str">
        <f t="shared" si="13"/>
        <v/>
      </c>
      <c r="Z68" s="609" t="str">
        <f t="shared" si="13"/>
        <v/>
      </c>
      <c r="AA68" s="609" t="str">
        <f t="shared" si="13"/>
        <v/>
      </c>
      <c r="AB68" s="609" t="str">
        <f t="shared" si="13"/>
        <v/>
      </c>
      <c r="AC68" s="609" t="str">
        <f t="shared" si="13"/>
        <v/>
      </c>
      <c r="AD68" s="609" t="str">
        <f t="shared" si="13"/>
        <v/>
      </c>
      <c r="AE68" s="609" t="str">
        <f t="shared" si="13"/>
        <v/>
      </c>
      <c r="AF68" s="609" t="str">
        <f t="shared" si="13"/>
        <v/>
      </c>
      <c r="AG68" s="609" t="str">
        <f t="shared" si="13"/>
        <v/>
      </c>
      <c r="AH68" s="609" t="str">
        <f t="shared" si="13"/>
        <v/>
      </c>
      <c r="AI68" s="609" t="str">
        <f t="shared" si="13"/>
        <v/>
      </c>
      <c r="AJ68" s="609" t="str">
        <f t="shared" si="13"/>
        <v/>
      </c>
      <c r="AK68" s="609" t="str">
        <f t="shared" si="13"/>
        <v/>
      </c>
      <c r="AL68" s="609" t="str">
        <f t="shared" si="13"/>
        <v/>
      </c>
      <c r="AM68" s="609" t="str">
        <f t="shared" si="13"/>
        <v/>
      </c>
      <c r="AN68" s="609" t="str">
        <f t="shared" si="13"/>
        <v/>
      </c>
      <c r="AO68" s="609" t="str">
        <f t="shared" si="13"/>
        <v/>
      </c>
      <c r="AP68" s="609" t="str">
        <f t="shared" si="13"/>
        <v/>
      </c>
      <c r="AQ68" s="609" t="str">
        <f t="shared" si="13"/>
        <v/>
      </c>
      <c r="AR68" s="609" t="str">
        <f t="shared" si="13"/>
        <v/>
      </c>
      <c r="AS68" s="609" t="str">
        <f t="shared" si="13"/>
        <v/>
      </c>
      <c r="AT68" s="609" t="str">
        <f t="shared" si="13"/>
        <v/>
      </c>
      <c r="AU68" s="609" t="str">
        <f t="shared" si="13"/>
        <v/>
      </c>
      <c r="AV68" s="609" t="str">
        <f t="shared" si="13"/>
        <v/>
      </c>
      <c r="AW68" s="609" t="str">
        <f t="shared" si="13"/>
        <v/>
      </c>
      <c r="AX68" s="609" t="str">
        <f t="shared" si="13"/>
        <v/>
      </c>
      <c r="AY68" s="609" t="str">
        <f t="shared" si="13"/>
        <v/>
      </c>
      <c r="AZ68" s="609" t="str">
        <f t="shared" si="13"/>
        <v/>
      </c>
      <c r="BA68" s="609" t="str">
        <f t="shared" si="13"/>
        <v/>
      </c>
      <c r="BB68" s="609" t="str">
        <f t="shared" si="13"/>
        <v/>
      </c>
      <c r="BC68" s="609" t="str">
        <f t="shared" si="13"/>
        <v/>
      </c>
      <c r="BD68" s="609" t="str">
        <f t="shared" si="13"/>
        <v/>
      </c>
      <c r="BE68" s="609" t="str">
        <f t="shared" si="13"/>
        <v/>
      </c>
      <c r="BF68" s="609" t="str">
        <f t="shared" si="13"/>
        <v/>
      </c>
      <c r="BG68" s="609" t="str">
        <f t="shared" si="13"/>
        <v/>
      </c>
    </row>
    <row r="69" spans="2:59" x14ac:dyDescent="0.25">
      <c r="B69" s="654">
        <v>63</v>
      </c>
      <c r="C69" s="654"/>
      <c r="D69" s="654"/>
      <c r="E69" s="655"/>
      <c r="F69" s="654"/>
      <c r="H69" s="609" t="str">
        <f t="shared" si="1"/>
        <v/>
      </c>
      <c r="I69" s="609" t="str">
        <f t="shared" si="13"/>
        <v/>
      </c>
      <c r="J69" s="609" t="str">
        <f t="shared" si="13"/>
        <v/>
      </c>
      <c r="K69" s="609" t="str">
        <f t="shared" si="13"/>
        <v/>
      </c>
      <c r="L69" s="609" t="str">
        <f t="shared" si="13"/>
        <v/>
      </c>
      <c r="M69" s="609" t="str">
        <f t="shared" si="13"/>
        <v/>
      </c>
      <c r="N69" s="609" t="str">
        <f t="shared" si="13"/>
        <v/>
      </c>
      <c r="O69" s="609" t="str">
        <f t="shared" si="13"/>
        <v/>
      </c>
      <c r="P69" s="609" t="str">
        <f t="shared" si="13"/>
        <v/>
      </c>
      <c r="Q69" s="609" t="str">
        <f t="shared" si="13"/>
        <v/>
      </c>
      <c r="R69" s="609" t="str">
        <f t="shared" si="13"/>
        <v/>
      </c>
      <c r="S69" s="609" t="str">
        <f t="shared" si="13"/>
        <v/>
      </c>
      <c r="T69" s="609" t="str">
        <f t="shared" si="13"/>
        <v/>
      </c>
      <c r="U69" s="609" t="str">
        <f t="shared" si="13"/>
        <v/>
      </c>
      <c r="V69" s="609" t="str">
        <f t="shared" si="13"/>
        <v/>
      </c>
      <c r="W69" s="609" t="str">
        <f t="shared" si="13"/>
        <v/>
      </c>
      <c r="X69" s="609" t="str">
        <f t="shared" si="13"/>
        <v/>
      </c>
      <c r="Y69" s="609" t="str">
        <f t="shared" si="13"/>
        <v/>
      </c>
      <c r="Z69" s="609" t="str">
        <f t="shared" si="13"/>
        <v/>
      </c>
      <c r="AA69" s="609" t="str">
        <f t="shared" si="13"/>
        <v/>
      </c>
      <c r="AB69" s="609" t="str">
        <f t="shared" si="13"/>
        <v/>
      </c>
      <c r="AC69" s="609" t="str">
        <f t="shared" si="13"/>
        <v/>
      </c>
      <c r="AD69" s="609" t="str">
        <f t="shared" si="13"/>
        <v/>
      </c>
      <c r="AE69" s="609" t="str">
        <f t="shared" si="13"/>
        <v/>
      </c>
      <c r="AF69" s="609" t="str">
        <f t="shared" si="13"/>
        <v/>
      </c>
      <c r="AG69" s="609" t="str">
        <f t="shared" si="13"/>
        <v/>
      </c>
      <c r="AH69" s="609" t="str">
        <f t="shared" si="13"/>
        <v/>
      </c>
      <c r="AI69" s="609" t="str">
        <f t="shared" si="13"/>
        <v/>
      </c>
      <c r="AJ69" s="609" t="str">
        <f t="shared" si="13"/>
        <v/>
      </c>
      <c r="AK69" s="609" t="str">
        <f t="shared" si="13"/>
        <v/>
      </c>
      <c r="AL69" s="609" t="str">
        <f t="shared" si="13"/>
        <v/>
      </c>
      <c r="AM69" s="609" t="str">
        <f t="shared" si="13"/>
        <v/>
      </c>
      <c r="AN69" s="609" t="str">
        <f t="shared" si="13"/>
        <v/>
      </c>
      <c r="AO69" s="609" t="str">
        <f t="shared" si="13"/>
        <v/>
      </c>
      <c r="AP69" s="609" t="str">
        <f t="shared" si="13"/>
        <v/>
      </c>
      <c r="AQ69" s="609" t="str">
        <f t="shared" si="13"/>
        <v/>
      </c>
      <c r="AR69" s="609" t="str">
        <f t="shared" si="13"/>
        <v/>
      </c>
      <c r="AS69" s="609" t="str">
        <f t="shared" si="13"/>
        <v/>
      </c>
      <c r="AT69" s="609" t="str">
        <f t="shared" si="13"/>
        <v/>
      </c>
      <c r="AU69" s="609" t="str">
        <f t="shared" si="13"/>
        <v/>
      </c>
      <c r="AV69" s="609" t="str">
        <f t="shared" si="13"/>
        <v/>
      </c>
      <c r="AW69" s="609" t="str">
        <f t="shared" si="13"/>
        <v/>
      </c>
      <c r="AX69" s="609" t="str">
        <f t="shared" si="13"/>
        <v/>
      </c>
      <c r="AY69" s="609" t="str">
        <f t="shared" si="13"/>
        <v/>
      </c>
      <c r="AZ69" s="609" t="str">
        <f t="shared" si="13"/>
        <v/>
      </c>
      <c r="BA69" s="609" t="str">
        <f t="shared" si="13"/>
        <v/>
      </c>
      <c r="BB69" s="609" t="str">
        <f t="shared" si="13"/>
        <v/>
      </c>
      <c r="BC69" s="609" t="str">
        <f t="shared" si="13"/>
        <v/>
      </c>
      <c r="BD69" s="609" t="str">
        <f t="shared" si="13"/>
        <v/>
      </c>
      <c r="BE69" s="609" t="str">
        <f t="shared" si="13"/>
        <v/>
      </c>
      <c r="BF69" s="609" t="str">
        <f t="shared" si="13"/>
        <v/>
      </c>
      <c r="BG69" s="609" t="str">
        <f t="shared" si="13"/>
        <v/>
      </c>
    </row>
    <row r="70" spans="2:59" x14ac:dyDescent="0.25">
      <c r="B70" s="654">
        <v>64</v>
      </c>
      <c r="C70" s="654"/>
      <c r="D70" s="654"/>
      <c r="E70" s="655"/>
      <c r="F70" s="654"/>
      <c r="H70" s="609" t="str">
        <f t="shared" si="1"/>
        <v/>
      </c>
      <c r="I70" s="609" t="str">
        <f t="shared" si="13"/>
        <v/>
      </c>
      <c r="J70" s="609" t="str">
        <f t="shared" si="13"/>
        <v/>
      </c>
      <c r="K70" s="609" t="str">
        <f t="shared" si="13"/>
        <v/>
      </c>
      <c r="L70" s="609" t="str">
        <f t="shared" si="13"/>
        <v/>
      </c>
      <c r="M70" s="609" t="str">
        <f t="shared" si="13"/>
        <v/>
      </c>
      <c r="N70" s="609" t="str">
        <f t="shared" si="13"/>
        <v/>
      </c>
      <c r="O70" s="609" t="str">
        <f t="shared" si="13"/>
        <v/>
      </c>
      <c r="P70" s="609" t="str">
        <f t="shared" si="13"/>
        <v/>
      </c>
      <c r="Q70" s="609" t="str">
        <f t="shared" si="13"/>
        <v/>
      </c>
      <c r="R70" s="609" t="str">
        <f t="shared" si="13"/>
        <v/>
      </c>
      <c r="S70" s="609" t="str">
        <f t="shared" si="13"/>
        <v/>
      </c>
      <c r="T70" s="609" t="str">
        <f t="shared" si="13"/>
        <v/>
      </c>
      <c r="U70" s="609" t="str">
        <f t="shared" si="13"/>
        <v/>
      </c>
      <c r="V70" s="609" t="str">
        <f t="shared" si="13"/>
        <v/>
      </c>
      <c r="W70" s="609" t="str">
        <f t="shared" si="13"/>
        <v/>
      </c>
      <c r="X70" s="609" t="str">
        <f t="shared" si="13"/>
        <v/>
      </c>
      <c r="Y70" s="609" t="str">
        <f t="shared" si="13"/>
        <v/>
      </c>
      <c r="Z70" s="609" t="str">
        <f t="shared" si="13"/>
        <v/>
      </c>
      <c r="AA70" s="609" t="str">
        <f t="shared" si="13"/>
        <v/>
      </c>
      <c r="AB70" s="609" t="str">
        <f t="shared" si="13"/>
        <v/>
      </c>
      <c r="AC70" s="609" t="str">
        <f t="shared" si="13"/>
        <v/>
      </c>
      <c r="AD70" s="609" t="str">
        <f t="shared" si="13"/>
        <v/>
      </c>
      <c r="AE70" s="609" t="str">
        <f t="shared" si="13"/>
        <v/>
      </c>
      <c r="AF70" s="609" t="str">
        <f t="shared" si="13"/>
        <v/>
      </c>
      <c r="AG70" s="609" t="str">
        <f t="shared" si="13"/>
        <v/>
      </c>
      <c r="AH70" s="609" t="str">
        <f t="shared" si="13"/>
        <v/>
      </c>
      <c r="AI70" s="609" t="str">
        <f t="shared" si="13"/>
        <v/>
      </c>
      <c r="AJ70" s="609" t="str">
        <f t="shared" si="13"/>
        <v/>
      </c>
      <c r="AK70" s="609" t="str">
        <f t="shared" si="13"/>
        <v/>
      </c>
      <c r="AL70" s="609" t="str">
        <f t="shared" si="13"/>
        <v/>
      </c>
      <c r="AM70" s="609" t="str">
        <f t="shared" si="13"/>
        <v/>
      </c>
      <c r="AN70" s="609" t="str">
        <f t="shared" si="13"/>
        <v/>
      </c>
      <c r="AO70" s="609" t="str">
        <f t="shared" si="13"/>
        <v/>
      </c>
      <c r="AP70" s="609" t="str">
        <f t="shared" si="13"/>
        <v/>
      </c>
      <c r="AQ70" s="609" t="str">
        <f t="shared" si="13"/>
        <v/>
      </c>
      <c r="AR70" s="609" t="str">
        <f t="shared" si="13"/>
        <v/>
      </c>
      <c r="AS70" s="609" t="str">
        <f t="shared" si="13"/>
        <v/>
      </c>
      <c r="AT70" s="609" t="str">
        <f t="shared" si="13"/>
        <v/>
      </c>
      <c r="AU70" s="609" t="str">
        <f t="shared" si="13"/>
        <v/>
      </c>
      <c r="AV70" s="609" t="str">
        <f t="shared" si="13"/>
        <v/>
      </c>
      <c r="AW70" s="609" t="str">
        <f t="shared" si="13"/>
        <v/>
      </c>
      <c r="AX70" s="609" t="str">
        <f t="shared" si="13"/>
        <v/>
      </c>
      <c r="AY70" s="609" t="str">
        <f t="shared" si="13"/>
        <v/>
      </c>
      <c r="AZ70" s="609" t="str">
        <f t="shared" si="13"/>
        <v/>
      </c>
      <c r="BA70" s="609" t="str">
        <f t="shared" si="13"/>
        <v/>
      </c>
      <c r="BB70" s="609" t="str">
        <f t="shared" si="13"/>
        <v/>
      </c>
      <c r="BC70" s="609" t="str">
        <f t="shared" si="13"/>
        <v/>
      </c>
      <c r="BD70" s="609" t="str">
        <f t="shared" si="13"/>
        <v/>
      </c>
      <c r="BE70" s="609" t="str">
        <f t="shared" si="13"/>
        <v/>
      </c>
      <c r="BF70" s="609" t="str">
        <f t="shared" si="13"/>
        <v/>
      </c>
      <c r="BG70" s="609" t="str">
        <f t="shared" si="13"/>
        <v/>
      </c>
    </row>
    <row r="71" spans="2:59" x14ac:dyDescent="0.25">
      <c r="B71" s="654">
        <v>65</v>
      </c>
      <c r="C71" s="654"/>
      <c r="D71" s="654"/>
      <c r="E71" s="655"/>
      <c r="F71" s="654"/>
      <c r="H71" s="609" t="str">
        <f t="shared" si="1"/>
        <v/>
      </c>
      <c r="I71" s="609" t="str">
        <f t="shared" si="13"/>
        <v/>
      </c>
      <c r="J71" s="609" t="str">
        <f t="shared" si="13"/>
        <v/>
      </c>
      <c r="K71" s="609" t="str">
        <f t="shared" si="13"/>
        <v/>
      </c>
      <c r="L71" s="609" t="str">
        <f t="shared" si="13"/>
        <v/>
      </c>
      <c r="M71" s="609" t="str">
        <f t="shared" si="13"/>
        <v/>
      </c>
      <c r="N71" s="609" t="str">
        <f t="shared" si="13"/>
        <v/>
      </c>
      <c r="O71" s="609" t="str">
        <f t="shared" si="13"/>
        <v/>
      </c>
      <c r="P71" s="609" t="str">
        <f t="shared" si="13"/>
        <v/>
      </c>
      <c r="Q71" s="609" t="str">
        <f t="shared" si="13"/>
        <v/>
      </c>
      <c r="R71" s="609" t="str">
        <f t="shared" si="13"/>
        <v/>
      </c>
      <c r="S71" s="609" t="str">
        <f t="shared" si="13"/>
        <v/>
      </c>
      <c r="T71" s="609" t="str">
        <f t="shared" si="13"/>
        <v/>
      </c>
      <c r="U71" s="609" t="str">
        <f t="shared" si="13"/>
        <v/>
      </c>
      <c r="V71" s="609" t="str">
        <f t="shared" si="13"/>
        <v/>
      </c>
      <c r="W71" s="609" t="str">
        <f t="shared" si="13"/>
        <v/>
      </c>
      <c r="X71" s="609" t="str">
        <f t="shared" si="13"/>
        <v/>
      </c>
      <c r="Y71" s="609" t="str">
        <f t="shared" si="13"/>
        <v/>
      </c>
      <c r="Z71" s="609" t="str">
        <f t="shared" si="13"/>
        <v/>
      </c>
      <c r="AA71" s="609" t="str">
        <f t="shared" si="13"/>
        <v/>
      </c>
      <c r="AB71" s="609" t="str">
        <f t="shared" si="13"/>
        <v/>
      </c>
      <c r="AC71" s="609" t="str">
        <f t="shared" si="13"/>
        <v/>
      </c>
      <c r="AD71" s="609" t="str">
        <f t="shared" si="13"/>
        <v/>
      </c>
      <c r="AE71" s="609" t="str">
        <f t="shared" si="13"/>
        <v/>
      </c>
      <c r="AF71" s="609" t="str">
        <f t="shared" si="13"/>
        <v/>
      </c>
      <c r="AG71" s="609" t="str">
        <f t="shared" si="13"/>
        <v/>
      </c>
      <c r="AH71" s="609" t="str">
        <f t="shared" si="13"/>
        <v/>
      </c>
      <c r="AI71" s="609" t="str">
        <f t="shared" si="13"/>
        <v/>
      </c>
      <c r="AJ71" s="609" t="str">
        <f t="shared" si="13"/>
        <v/>
      </c>
      <c r="AK71" s="609" t="str">
        <f t="shared" si="13"/>
        <v/>
      </c>
      <c r="AL71" s="609" t="str">
        <f t="shared" si="13"/>
        <v/>
      </c>
      <c r="AM71" s="609" t="str">
        <f t="shared" si="13"/>
        <v/>
      </c>
      <c r="AN71" s="609" t="str">
        <f t="shared" si="13"/>
        <v/>
      </c>
      <c r="AO71" s="609" t="str">
        <f t="shared" si="13"/>
        <v/>
      </c>
      <c r="AP71" s="609" t="str">
        <f t="shared" si="13"/>
        <v/>
      </c>
      <c r="AQ71" s="609" t="str">
        <f t="shared" si="13"/>
        <v/>
      </c>
      <c r="AR71" s="609" t="str">
        <f t="shared" si="13"/>
        <v/>
      </c>
      <c r="AS71" s="609" t="str">
        <f t="shared" si="13"/>
        <v/>
      </c>
      <c r="AT71" s="609" t="str">
        <f t="shared" si="13"/>
        <v/>
      </c>
      <c r="AU71" s="609" t="str">
        <f t="shared" si="13"/>
        <v/>
      </c>
      <c r="AV71" s="609" t="str">
        <f t="shared" si="13"/>
        <v/>
      </c>
      <c r="AW71" s="609" t="str">
        <f t="shared" si="13"/>
        <v/>
      </c>
      <c r="AX71" s="609" t="str">
        <f t="shared" si="13"/>
        <v/>
      </c>
      <c r="AY71" s="609" t="str">
        <f t="shared" si="13"/>
        <v/>
      </c>
      <c r="AZ71" s="609" t="str">
        <f t="shared" si="13"/>
        <v/>
      </c>
      <c r="BA71" s="609" t="str">
        <f t="shared" si="13"/>
        <v/>
      </c>
      <c r="BB71" s="609" t="str">
        <f t="shared" si="13"/>
        <v/>
      </c>
      <c r="BC71" s="609" t="str">
        <f t="shared" si="13"/>
        <v/>
      </c>
      <c r="BD71" s="609" t="str">
        <f t="shared" si="13"/>
        <v/>
      </c>
      <c r="BE71" s="609" t="str">
        <f t="shared" si="13"/>
        <v/>
      </c>
      <c r="BF71" s="609" t="str">
        <f t="shared" si="13"/>
        <v/>
      </c>
      <c r="BG71" s="609" t="str">
        <f t="shared" si="13"/>
        <v/>
      </c>
    </row>
    <row r="72" spans="2:59" x14ac:dyDescent="0.25">
      <c r="B72" s="654">
        <v>66</v>
      </c>
      <c r="C72" s="654"/>
      <c r="D72" s="654"/>
      <c r="E72" s="655"/>
      <c r="F72" s="654"/>
      <c r="H72" s="609" t="str">
        <f t="shared" ref="H72:W135" si="14">IF($D72=H$6,$B72&amp;", ","")</f>
        <v/>
      </c>
      <c r="I72" s="609" t="str">
        <f t="shared" si="14"/>
        <v/>
      </c>
      <c r="J72" s="609" t="str">
        <f t="shared" si="14"/>
        <v/>
      </c>
      <c r="K72" s="609" t="str">
        <f t="shared" si="14"/>
        <v/>
      </c>
      <c r="L72" s="609" t="str">
        <f t="shared" si="14"/>
        <v/>
      </c>
      <c r="M72" s="609" t="str">
        <f t="shared" si="14"/>
        <v/>
      </c>
      <c r="N72" s="609" t="str">
        <f t="shared" si="14"/>
        <v/>
      </c>
      <c r="O72" s="609" t="str">
        <f t="shared" si="14"/>
        <v/>
      </c>
      <c r="P72" s="609" t="str">
        <f t="shared" si="14"/>
        <v/>
      </c>
      <c r="Q72" s="609" t="str">
        <f t="shared" si="14"/>
        <v/>
      </c>
      <c r="R72" s="609" t="str">
        <f t="shared" si="14"/>
        <v/>
      </c>
      <c r="S72" s="609" t="str">
        <f t="shared" si="14"/>
        <v/>
      </c>
      <c r="T72" s="609" t="str">
        <f t="shared" si="14"/>
        <v/>
      </c>
      <c r="U72" s="609" t="str">
        <f t="shared" si="14"/>
        <v/>
      </c>
      <c r="V72" s="609" t="str">
        <f t="shared" si="14"/>
        <v/>
      </c>
      <c r="W72" s="609" t="str">
        <f t="shared" si="14"/>
        <v/>
      </c>
      <c r="X72" s="609" t="str">
        <f t="shared" si="13"/>
        <v/>
      </c>
      <c r="Y72" s="609" t="str">
        <f t="shared" si="13"/>
        <v/>
      </c>
      <c r="Z72" s="609" t="str">
        <f t="shared" si="13"/>
        <v/>
      </c>
      <c r="AA72" s="609" t="str">
        <f t="shared" si="13"/>
        <v/>
      </c>
      <c r="AB72" s="609" t="str">
        <f t="shared" si="13"/>
        <v/>
      </c>
      <c r="AC72" s="609" t="str">
        <f t="shared" si="13"/>
        <v/>
      </c>
      <c r="AD72" s="609" t="str">
        <f t="shared" si="13"/>
        <v/>
      </c>
      <c r="AE72" s="609" t="str">
        <f t="shared" si="13"/>
        <v/>
      </c>
      <c r="AF72" s="609" t="str">
        <f t="shared" si="13"/>
        <v/>
      </c>
      <c r="AG72" s="609" t="str">
        <f t="shared" si="13"/>
        <v/>
      </c>
      <c r="AH72" s="609" t="str">
        <f t="shared" si="13"/>
        <v/>
      </c>
      <c r="AI72" s="609" t="str">
        <f t="shared" si="13"/>
        <v/>
      </c>
      <c r="AJ72" s="609" t="str">
        <f t="shared" si="13"/>
        <v/>
      </c>
      <c r="AK72" s="609" t="str">
        <f t="shared" si="13"/>
        <v/>
      </c>
      <c r="AL72" s="609" t="str">
        <f t="shared" si="13"/>
        <v/>
      </c>
      <c r="AM72" s="609" t="str">
        <f t="shared" ref="I72:BG77" si="15">IF($D72=AM$6,$B72&amp;", ","")</f>
        <v/>
      </c>
      <c r="AN72" s="609" t="str">
        <f t="shared" si="15"/>
        <v/>
      </c>
      <c r="AO72" s="609" t="str">
        <f t="shared" si="15"/>
        <v/>
      </c>
      <c r="AP72" s="609" t="str">
        <f t="shared" si="15"/>
        <v/>
      </c>
      <c r="AQ72" s="609" t="str">
        <f t="shared" si="15"/>
        <v/>
      </c>
      <c r="AR72" s="609" t="str">
        <f t="shared" si="15"/>
        <v/>
      </c>
      <c r="AS72" s="609" t="str">
        <f t="shared" si="15"/>
        <v/>
      </c>
      <c r="AT72" s="609" t="str">
        <f t="shared" si="15"/>
        <v/>
      </c>
      <c r="AU72" s="609" t="str">
        <f t="shared" si="15"/>
        <v/>
      </c>
      <c r="AV72" s="609" t="str">
        <f t="shared" si="15"/>
        <v/>
      </c>
      <c r="AW72" s="609" t="str">
        <f t="shared" si="15"/>
        <v/>
      </c>
      <c r="AX72" s="609" t="str">
        <f t="shared" si="15"/>
        <v/>
      </c>
      <c r="AY72" s="609" t="str">
        <f t="shared" si="15"/>
        <v/>
      </c>
      <c r="AZ72" s="609" t="str">
        <f t="shared" si="15"/>
        <v/>
      </c>
      <c r="BA72" s="609" t="str">
        <f t="shared" si="15"/>
        <v/>
      </c>
      <c r="BB72" s="609" t="str">
        <f t="shared" si="15"/>
        <v/>
      </c>
      <c r="BC72" s="609" t="str">
        <f t="shared" si="15"/>
        <v/>
      </c>
      <c r="BD72" s="609" t="str">
        <f t="shared" si="15"/>
        <v/>
      </c>
      <c r="BE72" s="609" t="str">
        <f t="shared" si="15"/>
        <v/>
      </c>
      <c r="BF72" s="609" t="str">
        <f t="shared" si="15"/>
        <v/>
      </c>
      <c r="BG72" s="609" t="str">
        <f t="shared" si="15"/>
        <v/>
      </c>
    </row>
    <row r="73" spans="2:59" x14ac:dyDescent="0.25">
      <c r="B73" s="654">
        <v>67</v>
      </c>
      <c r="C73" s="654"/>
      <c r="D73" s="654"/>
      <c r="E73" s="655"/>
      <c r="F73" s="654"/>
      <c r="H73" s="609" t="str">
        <f t="shared" si="14"/>
        <v/>
      </c>
      <c r="I73" s="609" t="str">
        <f t="shared" si="15"/>
        <v/>
      </c>
      <c r="J73" s="609" t="str">
        <f t="shared" si="15"/>
        <v/>
      </c>
      <c r="K73" s="609" t="str">
        <f t="shared" si="15"/>
        <v/>
      </c>
      <c r="L73" s="609" t="str">
        <f t="shared" si="15"/>
        <v/>
      </c>
      <c r="M73" s="609" t="str">
        <f t="shared" si="15"/>
        <v/>
      </c>
      <c r="N73" s="609" t="str">
        <f t="shared" si="15"/>
        <v/>
      </c>
      <c r="O73" s="609" t="str">
        <f t="shared" si="15"/>
        <v/>
      </c>
      <c r="P73" s="609" t="str">
        <f t="shared" si="15"/>
        <v/>
      </c>
      <c r="Q73" s="609" t="str">
        <f t="shared" si="15"/>
        <v/>
      </c>
      <c r="R73" s="609" t="str">
        <f t="shared" si="15"/>
        <v/>
      </c>
      <c r="S73" s="609" t="str">
        <f t="shared" si="15"/>
        <v/>
      </c>
      <c r="T73" s="609" t="str">
        <f t="shared" si="15"/>
        <v/>
      </c>
      <c r="U73" s="609" t="str">
        <f t="shared" si="15"/>
        <v/>
      </c>
      <c r="V73" s="609" t="str">
        <f t="shared" si="15"/>
        <v/>
      </c>
      <c r="W73" s="609" t="str">
        <f t="shared" si="15"/>
        <v/>
      </c>
      <c r="X73" s="609" t="str">
        <f t="shared" si="15"/>
        <v/>
      </c>
      <c r="Y73" s="609" t="str">
        <f t="shared" si="15"/>
        <v/>
      </c>
      <c r="Z73" s="609" t="str">
        <f t="shared" si="15"/>
        <v/>
      </c>
      <c r="AA73" s="609" t="str">
        <f t="shared" si="15"/>
        <v/>
      </c>
      <c r="AB73" s="609" t="str">
        <f t="shared" si="15"/>
        <v/>
      </c>
      <c r="AC73" s="609" t="str">
        <f t="shared" si="15"/>
        <v/>
      </c>
      <c r="AD73" s="609" t="str">
        <f t="shared" si="15"/>
        <v/>
      </c>
      <c r="AE73" s="609" t="str">
        <f t="shared" si="15"/>
        <v/>
      </c>
      <c r="AF73" s="609" t="str">
        <f t="shared" si="15"/>
        <v/>
      </c>
      <c r="AG73" s="609" t="str">
        <f t="shared" si="15"/>
        <v/>
      </c>
      <c r="AH73" s="609" t="str">
        <f t="shared" si="15"/>
        <v/>
      </c>
      <c r="AI73" s="609" t="str">
        <f t="shared" si="15"/>
        <v/>
      </c>
      <c r="AJ73" s="609" t="str">
        <f t="shared" si="15"/>
        <v/>
      </c>
      <c r="AK73" s="609" t="str">
        <f t="shared" si="15"/>
        <v/>
      </c>
      <c r="AL73" s="609" t="str">
        <f t="shared" si="15"/>
        <v/>
      </c>
      <c r="AM73" s="609" t="str">
        <f t="shared" si="15"/>
        <v/>
      </c>
      <c r="AN73" s="609" t="str">
        <f t="shared" si="15"/>
        <v/>
      </c>
      <c r="AO73" s="609" t="str">
        <f t="shared" si="15"/>
        <v/>
      </c>
      <c r="AP73" s="609" t="str">
        <f t="shared" si="15"/>
        <v/>
      </c>
      <c r="AQ73" s="609" t="str">
        <f t="shared" si="15"/>
        <v/>
      </c>
      <c r="AR73" s="609" t="str">
        <f t="shared" si="15"/>
        <v/>
      </c>
      <c r="AS73" s="609" t="str">
        <f t="shared" si="15"/>
        <v/>
      </c>
      <c r="AT73" s="609" t="str">
        <f t="shared" si="15"/>
        <v/>
      </c>
      <c r="AU73" s="609" t="str">
        <f t="shared" si="15"/>
        <v/>
      </c>
      <c r="AV73" s="609" t="str">
        <f t="shared" si="15"/>
        <v/>
      </c>
      <c r="AW73" s="609" t="str">
        <f t="shared" si="15"/>
        <v/>
      </c>
      <c r="AX73" s="609" t="str">
        <f t="shared" si="15"/>
        <v/>
      </c>
      <c r="AY73" s="609" t="str">
        <f t="shared" si="15"/>
        <v/>
      </c>
      <c r="AZ73" s="609" t="str">
        <f t="shared" si="15"/>
        <v/>
      </c>
      <c r="BA73" s="609" t="str">
        <f t="shared" si="15"/>
        <v/>
      </c>
      <c r="BB73" s="609" t="str">
        <f t="shared" si="15"/>
        <v/>
      </c>
      <c r="BC73" s="609" t="str">
        <f t="shared" si="15"/>
        <v/>
      </c>
      <c r="BD73" s="609" t="str">
        <f t="shared" si="15"/>
        <v/>
      </c>
      <c r="BE73" s="609" t="str">
        <f t="shared" si="15"/>
        <v/>
      </c>
      <c r="BF73" s="609" t="str">
        <f t="shared" si="15"/>
        <v/>
      </c>
      <c r="BG73" s="609" t="str">
        <f t="shared" si="15"/>
        <v/>
      </c>
    </row>
    <row r="74" spans="2:59" x14ac:dyDescent="0.25">
      <c r="B74" s="654">
        <v>68</v>
      </c>
      <c r="C74" s="654"/>
      <c r="D74" s="654"/>
      <c r="E74" s="655"/>
      <c r="F74" s="654"/>
      <c r="H74" s="609" t="str">
        <f t="shared" si="14"/>
        <v/>
      </c>
      <c r="I74" s="609" t="str">
        <f t="shared" si="15"/>
        <v/>
      </c>
      <c r="J74" s="609" t="str">
        <f t="shared" si="15"/>
        <v/>
      </c>
      <c r="K74" s="609" t="str">
        <f t="shared" si="15"/>
        <v/>
      </c>
      <c r="L74" s="609" t="str">
        <f t="shared" si="15"/>
        <v/>
      </c>
      <c r="M74" s="609" t="str">
        <f t="shared" si="15"/>
        <v/>
      </c>
      <c r="N74" s="609" t="str">
        <f t="shared" si="15"/>
        <v/>
      </c>
      <c r="O74" s="609" t="str">
        <f t="shared" si="15"/>
        <v/>
      </c>
      <c r="P74" s="609" t="str">
        <f t="shared" si="15"/>
        <v/>
      </c>
      <c r="Q74" s="609" t="str">
        <f t="shared" si="15"/>
        <v/>
      </c>
      <c r="R74" s="609" t="str">
        <f t="shared" si="15"/>
        <v/>
      </c>
      <c r="S74" s="609" t="str">
        <f t="shared" si="15"/>
        <v/>
      </c>
      <c r="T74" s="609" t="str">
        <f t="shared" si="15"/>
        <v/>
      </c>
      <c r="U74" s="609" t="str">
        <f t="shared" si="15"/>
        <v/>
      </c>
      <c r="V74" s="609" t="str">
        <f t="shared" si="15"/>
        <v/>
      </c>
      <c r="W74" s="609" t="str">
        <f t="shared" si="15"/>
        <v/>
      </c>
      <c r="X74" s="609" t="str">
        <f t="shared" si="15"/>
        <v/>
      </c>
      <c r="Y74" s="609" t="str">
        <f t="shared" si="15"/>
        <v/>
      </c>
      <c r="Z74" s="609" t="str">
        <f t="shared" si="15"/>
        <v/>
      </c>
      <c r="AA74" s="609" t="str">
        <f t="shared" si="15"/>
        <v/>
      </c>
      <c r="AB74" s="609" t="str">
        <f t="shared" si="15"/>
        <v/>
      </c>
      <c r="AC74" s="609" t="str">
        <f t="shared" si="15"/>
        <v/>
      </c>
      <c r="AD74" s="609" t="str">
        <f t="shared" si="15"/>
        <v/>
      </c>
      <c r="AE74" s="609" t="str">
        <f t="shared" si="15"/>
        <v/>
      </c>
      <c r="AF74" s="609" t="str">
        <f t="shared" si="15"/>
        <v/>
      </c>
      <c r="AG74" s="609" t="str">
        <f t="shared" si="15"/>
        <v/>
      </c>
      <c r="AH74" s="609" t="str">
        <f t="shared" si="15"/>
        <v/>
      </c>
      <c r="AI74" s="609" t="str">
        <f t="shared" si="15"/>
        <v/>
      </c>
      <c r="AJ74" s="609" t="str">
        <f t="shared" si="15"/>
        <v/>
      </c>
      <c r="AK74" s="609" t="str">
        <f t="shared" si="15"/>
        <v/>
      </c>
      <c r="AL74" s="609" t="str">
        <f t="shared" si="15"/>
        <v/>
      </c>
      <c r="AM74" s="609" t="str">
        <f t="shared" si="15"/>
        <v/>
      </c>
      <c r="AN74" s="609" t="str">
        <f t="shared" si="15"/>
        <v/>
      </c>
      <c r="AO74" s="609" t="str">
        <f t="shared" si="15"/>
        <v/>
      </c>
      <c r="AP74" s="609" t="str">
        <f t="shared" si="15"/>
        <v/>
      </c>
      <c r="AQ74" s="609" t="str">
        <f t="shared" si="15"/>
        <v/>
      </c>
      <c r="AR74" s="609" t="str">
        <f t="shared" si="15"/>
        <v/>
      </c>
      <c r="AS74" s="609" t="str">
        <f t="shared" si="15"/>
        <v/>
      </c>
      <c r="AT74" s="609" t="str">
        <f t="shared" si="15"/>
        <v/>
      </c>
      <c r="AU74" s="609" t="str">
        <f t="shared" si="15"/>
        <v/>
      </c>
      <c r="AV74" s="609" t="str">
        <f t="shared" si="15"/>
        <v/>
      </c>
      <c r="AW74" s="609" t="str">
        <f t="shared" si="15"/>
        <v/>
      </c>
      <c r="AX74" s="609" t="str">
        <f t="shared" si="15"/>
        <v/>
      </c>
      <c r="AY74" s="609" t="str">
        <f t="shared" si="15"/>
        <v/>
      </c>
      <c r="AZ74" s="609" t="str">
        <f t="shared" si="15"/>
        <v/>
      </c>
      <c r="BA74" s="609" t="str">
        <f t="shared" si="15"/>
        <v/>
      </c>
      <c r="BB74" s="609" t="str">
        <f t="shared" si="15"/>
        <v/>
      </c>
      <c r="BC74" s="609" t="str">
        <f t="shared" si="15"/>
        <v/>
      </c>
      <c r="BD74" s="609" t="str">
        <f t="shared" si="15"/>
        <v/>
      </c>
      <c r="BE74" s="609" t="str">
        <f t="shared" si="15"/>
        <v/>
      </c>
      <c r="BF74" s="609" t="str">
        <f t="shared" si="15"/>
        <v/>
      </c>
      <c r="BG74" s="609" t="str">
        <f t="shared" si="15"/>
        <v/>
      </c>
    </row>
    <row r="75" spans="2:59" x14ac:dyDescent="0.25">
      <c r="B75" s="654">
        <v>69</v>
      </c>
      <c r="C75" s="654"/>
      <c r="D75" s="654"/>
      <c r="E75" s="655"/>
      <c r="F75" s="654"/>
      <c r="H75" s="609" t="str">
        <f t="shared" si="14"/>
        <v/>
      </c>
      <c r="I75" s="609" t="str">
        <f t="shared" si="15"/>
        <v/>
      </c>
      <c r="J75" s="609" t="str">
        <f t="shared" si="15"/>
        <v/>
      </c>
      <c r="K75" s="609" t="str">
        <f t="shared" si="15"/>
        <v/>
      </c>
      <c r="L75" s="609" t="str">
        <f t="shared" si="15"/>
        <v/>
      </c>
      <c r="M75" s="609" t="str">
        <f t="shared" si="15"/>
        <v/>
      </c>
      <c r="N75" s="609" t="str">
        <f t="shared" si="15"/>
        <v/>
      </c>
      <c r="O75" s="609" t="str">
        <f t="shared" si="15"/>
        <v/>
      </c>
      <c r="P75" s="609" t="str">
        <f t="shared" si="15"/>
        <v/>
      </c>
      <c r="Q75" s="609" t="str">
        <f t="shared" si="15"/>
        <v/>
      </c>
      <c r="R75" s="609" t="str">
        <f t="shared" si="15"/>
        <v/>
      </c>
      <c r="S75" s="609" t="str">
        <f t="shared" si="15"/>
        <v/>
      </c>
      <c r="T75" s="609" t="str">
        <f t="shared" si="15"/>
        <v/>
      </c>
      <c r="U75" s="609" t="str">
        <f t="shared" si="15"/>
        <v/>
      </c>
      <c r="V75" s="609" t="str">
        <f t="shared" si="15"/>
        <v/>
      </c>
      <c r="W75" s="609" t="str">
        <f t="shared" si="15"/>
        <v/>
      </c>
      <c r="X75" s="609" t="str">
        <f t="shared" si="15"/>
        <v/>
      </c>
      <c r="Y75" s="609" t="str">
        <f t="shared" si="15"/>
        <v/>
      </c>
      <c r="Z75" s="609" t="str">
        <f t="shared" si="15"/>
        <v/>
      </c>
      <c r="AA75" s="609" t="str">
        <f t="shared" si="15"/>
        <v/>
      </c>
      <c r="AB75" s="609" t="str">
        <f t="shared" si="15"/>
        <v/>
      </c>
      <c r="AC75" s="609" t="str">
        <f t="shared" si="15"/>
        <v/>
      </c>
      <c r="AD75" s="609" t="str">
        <f t="shared" si="15"/>
        <v/>
      </c>
      <c r="AE75" s="609" t="str">
        <f t="shared" si="15"/>
        <v/>
      </c>
      <c r="AF75" s="609" t="str">
        <f t="shared" si="15"/>
        <v/>
      </c>
      <c r="AG75" s="609" t="str">
        <f t="shared" si="15"/>
        <v/>
      </c>
      <c r="AH75" s="609" t="str">
        <f t="shared" si="15"/>
        <v/>
      </c>
      <c r="AI75" s="609" t="str">
        <f t="shared" si="15"/>
        <v/>
      </c>
      <c r="AJ75" s="609" t="str">
        <f t="shared" si="15"/>
        <v/>
      </c>
      <c r="AK75" s="609" t="str">
        <f t="shared" si="15"/>
        <v/>
      </c>
      <c r="AL75" s="609" t="str">
        <f t="shared" si="15"/>
        <v/>
      </c>
      <c r="AM75" s="609" t="str">
        <f t="shared" si="15"/>
        <v/>
      </c>
      <c r="AN75" s="609" t="str">
        <f t="shared" si="15"/>
        <v/>
      </c>
      <c r="AO75" s="609" t="str">
        <f t="shared" si="15"/>
        <v/>
      </c>
      <c r="AP75" s="609" t="str">
        <f t="shared" si="15"/>
        <v/>
      </c>
      <c r="AQ75" s="609" t="str">
        <f t="shared" si="15"/>
        <v/>
      </c>
      <c r="AR75" s="609" t="str">
        <f t="shared" si="15"/>
        <v/>
      </c>
      <c r="AS75" s="609" t="str">
        <f t="shared" si="15"/>
        <v/>
      </c>
      <c r="AT75" s="609" t="str">
        <f t="shared" si="15"/>
        <v/>
      </c>
      <c r="AU75" s="609" t="str">
        <f t="shared" si="15"/>
        <v/>
      </c>
      <c r="AV75" s="609" t="str">
        <f t="shared" si="15"/>
        <v/>
      </c>
      <c r="AW75" s="609" t="str">
        <f t="shared" si="15"/>
        <v/>
      </c>
      <c r="AX75" s="609" t="str">
        <f t="shared" si="15"/>
        <v/>
      </c>
      <c r="AY75" s="609" t="str">
        <f t="shared" si="15"/>
        <v/>
      </c>
      <c r="AZ75" s="609" t="str">
        <f t="shared" si="15"/>
        <v/>
      </c>
      <c r="BA75" s="609" t="str">
        <f t="shared" si="15"/>
        <v/>
      </c>
      <c r="BB75" s="609" t="str">
        <f t="shared" si="15"/>
        <v/>
      </c>
      <c r="BC75" s="609" t="str">
        <f t="shared" si="15"/>
        <v/>
      </c>
      <c r="BD75" s="609" t="str">
        <f t="shared" si="15"/>
        <v/>
      </c>
      <c r="BE75" s="609" t="str">
        <f t="shared" si="15"/>
        <v/>
      </c>
      <c r="BF75" s="609" t="str">
        <f t="shared" si="15"/>
        <v/>
      </c>
      <c r="BG75" s="609" t="str">
        <f t="shared" si="15"/>
        <v/>
      </c>
    </row>
    <row r="76" spans="2:59" x14ac:dyDescent="0.25">
      <c r="B76" s="654">
        <v>70</v>
      </c>
      <c r="C76" s="654"/>
      <c r="D76" s="654"/>
      <c r="E76" s="655"/>
      <c r="F76" s="654"/>
      <c r="H76" s="609" t="str">
        <f t="shared" si="14"/>
        <v/>
      </c>
      <c r="I76" s="609" t="str">
        <f t="shared" si="15"/>
        <v/>
      </c>
      <c r="J76" s="609" t="str">
        <f t="shared" si="15"/>
        <v/>
      </c>
      <c r="K76" s="609" t="str">
        <f t="shared" si="15"/>
        <v/>
      </c>
      <c r="L76" s="609" t="str">
        <f t="shared" si="15"/>
        <v/>
      </c>
      <c r="M76" s="609" t="str">
        <f t="shared" si="15"/>
        <v/>
      </c>
      <c r="N76" s="609" t="str">
        <f t="shared" si="15"/>
        <v/>
      </c>
      <c r="O76" s="609" t="str">
        <f t="shared" si="15"/>
        <v/>
      </c>
      <c r="P76" s="609" t="str">
        <f t="shared" si="15"/>
        <v/>
      </c>
      <c r="Q76" s="609" t="str">
        <f t="shared" si="15"/>
        <v/>
      </c>
      <c r="R76" s="609" t="str">
        <f t="shared" si="15"/>
        <v/>
      </c>
      <c r="S76" s="609" t="str">
        <f t="shared" si="15"/>
        <v/>
      </c>
      <c r="T76" s="609" t="str">
        <f t="shared" si="15"/>
        <v/>
      </c>
      <c r="U76" s="609" t="str">
        <f t="shared" si="15"/>
        <v/>
      </c>
      <c r="V76" s="609" t="str">
        <f t="shared" si="15"/>
        <v/>
      </c>
      <c r="W76" s="609" t="str">
        <f t="shared" si="15"/>
        <v/>
      </c>
      <c r="X76" s="609" t="str">
        <f t="shared" si="15"/>
        <v/>
      </c>
      <c r="Y76" s="609" t="str">
        <f t="shared" si="15"/>
        <v/>
      </c>
      <c r="Z76" s="609" t="str">
        <f t="shared" si="15"/>
        <v/>
      </c>
      <c r="AA76" s="609" t="str">
        <f t="shared" si="15"/>
        <v/>
      </c>
      <c r="AB76" s="609" t="str">
        <f t="shared" si="15"/>
        <v/>
      </c>
      <c r="AC76" s="609" t="str">
        <f t="shared" si="15"/>
        <v/>
      </c>
      <c r="AD76" s="609" t="str">
        <f t="shared" si="15"/>
        <v/>
      </c>
      <c r="AE76" s="609" t="str">
        <f t="shared" si="15"/>
        <v/>
      </c>
      <c r="AF76" s="609" t="str">
        <f t="shared" si="15"/>
        <v/>
      </c>
      <c r="AG76" s="609" t="str">
        <f t="shared" si="15"/>
        <v/>
      </c>
      <c r="AH76" s="609" t="str">
        <f t="shared" si="15"/>
        <v/>
      </c>
      <c r="AI76" s="609" t="str">
        <f t="shared" si="15"/>
        <v/>
      </c>
      <c r="AJ76" s="609" t="str">
        <f t="shared" si="15"/>
        <v/>
      </c>
      <c r="AK76" s="609" t="str">
        <f t="shared" si="15"/>
        <v/>
      </c>
      <c r="AL76" s="609" t="str">
        <f t="shared" si="15"/>
        <v/>
      </c>
      <c r="AM76" s="609" t="str">
        <f t="shared" si="15"/>
        <v/>
      </c>
      <c r="AN76" s="609" t="str">
        <f t="shared" si="15"/>
        <v/>
      </c>
      <c r="AO76" s="609" t="str">
        <f t="shared" si="15"/>
        <v/>
      </c>
      <c r="AP76" s="609" t="str">
        <f t="shared" si="15"/>
        <v/>
      </c>
      <c r="AQ76" s="609" t="str">
        <f t="shared" si="15"/>
        <v/>
      </c>
      <c r="AR76" s="609" t="str">
        <f t="shared" si="15"/>
        <v/>
      </c>
      <c r="AS76" s="609" t="str">
        <f t="shared" si="15"/>
        <v/>
      </c>
      <c r="AT76" s="609" t="str">
        <f t="shared" si="15"/>
        <v/>
      </c>
      <c r="AU76" s="609" t="str">
        <f t="shared" si="15"/>
        <v/>
      </c>
      <c r="AV76" s="609" t="str">
        <f t="shared" si="15"/>
        <v/>
      </c>
      <c r="AW76" s="609" t="str">
        <f t="shared" si="15"/>
        <v/>
      </c>
      <c r="AX76" s="609" t="str">
        <f t="shared" si="15"/>
        <v/>
      </c>
      <c r="AY76" s="609" t="str">
        <f t="shared" si="15"/>
        <v/>
      </c>
      <c r="AZ76" s="609" t="str">
        <f t="shared" si="15"/>
        <v/>
      </c>
      <c r="BA76" s="609" t="str">
        <f t="shared" si="15"/>
        <v/>
      </c>
      <c r="BB76" s="609" t="str">
        <f t="shared" si="15"/>
        <v/>
      </c>
      <c r="BC76" s="609" t="str">
        <f t="shared" si="15"/>
        <v/>
      </c>
      <c r="BD76" s="609" t="str">
        <f t="shared" si="15"/>
        <v/>
      </c>
      <c r="BE76" s="609" t="str">
        <f t="shared" si="15"/>
        <v/>
      </c>
      <c r="BF76" s="609" t="str">
        <f t="shared" si="15"/>
        <v/>
      </c>
      <c r="BG76" s="609" t="str">
        <f t="shared" si="15"/>
        <v/>
      </c>
    </row>
    <row r="77" spans="2:59" x14ac:dyDescent="0.25">
      <c r="B77" s="654">
        <v>71</v>
      </c>
      <c r="C77" s="654"/>
      <c r="D77" s="654"/>
      <c r="E77" s="655"/>
      <c r="F77" s="654"/>
      <c r="H77" s="609" t="str">
        <f t="shared" si="14"/>
        <v/>
      </c>
      <c r="I77" s="609" t="str">
        <f t="shared" si="15"/>
        <v/>
      </c>
      <c r="J77" s="609" t="str">
        <f t="shared" si="15"/>
        <v/>
      </c>
      <c r="K77" s="609" t="str">
        <f t="shared" si="15"/>
        <v/>
      </c>
      <c r="L77" s="609" t="str">
        <f t="shared" si="15"/>
        <v/>
      </c>
      <c r="M77" s="609" t="str">
        <f t="shared" si="15"/>
        <v/>
      </c>
      <c r="N77" s="609" t="str">
        <f t="shared" si="15"/>
        <v/>
      </c>
      <c r="O77" s="609" t="str">
        <f t="shared" si="15"/>
        <v/>
      </c>
      <c r="P77" s="609" t="str">
        <f t="shared" si="15"/>
        <v/>
      </c>
      <c r="Q77" s="609" t="str">
        <f t="shared" si="15"/>
        <v/>
      </c>
      <c r="R77" s="609" t="str">
        <f t="shared" si="15"/>
        <v/>
      </c>
      <c r="S77" s="609" t="str">
        <f t="shared" si="15"/>
        <v/>
      </c>
      <c r="T77" s="609" t="str">
        <f t="shared" si="15"/>
        <v/>
      </c>
      <c r="U77" s="609" t="str">
        <f t="shared" si="15"/>
        <v/>
      </c>
      <c r="V77" s="609" t="str">
        <f t="shared" si="15"/>
        <v/>
      </c>
      <c r="W77" s="609" t="str">
        <f t="shared" si="15"/>
        <v/>
      </c>
      <c r="X77" s="609" t="str">
        <f t="shared" si="15"/>
        <v/>
      </c>
      <c r="Y77" s="609" t="str">
        <f t="shared" si="15"/>
        <v/>
      </c>
      <c r="Z77" s="609" t="str">
        <f t="shared" si="15"/>
        <v/>
      </c>
      <c r="AA77" s="609" t="str">
        <f t="shared" si="15"/>
        <v/>
      </c>
      <c r="AB77" s="609" t="str">
        <f t="shared" si="15"/>
        <v/>
      </c>
      <c r="AC77" s="609" t="str">
        <f t="shared" si="15"/>
        <v/>
      </c>
      <c r="AD77" s="609" t="str">
        <f t="shared" si="15"/>
        <v/>
      </c>
      <c r="AE77" s="609" t="str">
        <f t="shared" si="15"/>
        <v/>
      </c>
      <c r="AF77" s="609" t="str">
        <f t="shared" si="15"/>
        <v/>
      </c>
      <c r="AG77" s="609" t="str">
        <f t="shared" si="15"/>
        <v/>
      </c>
      <c r="AH77" s="609" t="str">
        <f t="shared" si="15"/>
        <v/>
      </c>
      <c r="AI77" s="609" t="str">
        <f t="shared" si="15"/>
        <v/>
      </c>
      <c r="AJ77" s="609" t="str">
        <f t="shared" si="15"/>
        <v/>
      </c>
      <c r="AK77" s="609" t="str">
        <f t="shared" si="15"/>
        <v/>
      </c>
      <c r="AL77" s="609" t="str">
        <f t="shared" si="15"/>
        <v/>
      </c>
      <c r="AM77" s="609" t="str">
        <f t="shared" ref="I77:BG82" si="16">IF($D77=AM$6,$B77&amp;", ","")</f>
        <v/>
      </c>
      <c r="AN77" s="609" t="str">
        <f t="shared" si="16"/>
        <v/>
      </c>
      <c r="AO77" s="609" t="str">
        <f t="shared" si="16"/>
        <v/>
      </c>
      <c r="AP77" s="609" t="str">
        <f t="shared" si="16"/>
        <v/>
      </c>
      <c r="AQ77" s="609" t="str">
        <f t="shared" si="16"/>
        <v/>
      </c>
      <c r="AR77" s="609" t="str">
        <f t="shared" si="16"/>
        <v/>
      </c>
      <c r="AS77" s="609" t="str">
        <f t="shared" si="16"/>
        <v/>
      </c>
      <c r="AT77" s="609" t="str">
        <f t="shared" si="16"/>
        <v/>
      </c>
      <c r="AU77" s="609" t="str">
        <f t="shared" si="16"/>
        <v/>
      </c>
      <c r="AV77" s="609" t="str">
        <f t="shared" si="16"/>
        <v/>
      </c>
      <c r="AW77" s="609" t="str">
        <f t="shared" si="16"/>
        <v/>
      </c>
      <c r="AX77" s="609" t="str">
        <f t="shared" si="16"/>
        <v/>
      </c>
      <c r="AY77" s="609" t="str">
        <f t="shared" si="16"/>
        <v/>
      </c>
      <c r="AZ77" s="609" t="str">
        <f t="shared" si="16"/>
        <v/>
      </c>
      <c r="BA77" s="609" t="str">
        <f t="shared" si="16"/>
        <v/>
      </c>
      <c r="BB77" s="609" t="str">
        <f t="shared" si="16"/>
        <v/>
      </c>
      <c r="BC77" s="609" t="str">
        <f t="shared" si="16"/>
        <v/>
      </c>
      <c r="BD77" s="609" t="str">
        <f t="shared" si="16"/>
        <v/>
      </c>
      <c r="BE77" s="609" t="str">
        <f t="shared" si="16"/>
        <v/>
      </c>
      <c r="BF77" s="609" t="str">
        <f t="shared" si="16"/>
        <v/>
      </c>
      <c r="BG77" s="609" t="str">
        <f t="shared" si="16"/>
        <v/>
      </c>
    </row>
    <row r="78" spans="2:59" x14ac:dyDescent="0.25">
      <c r="B78" s="654">
        <v>72</v>
      </c>
      <c r="C78" s="654"/>
      <c r="D78" s="654"/>
      <c r="E78" s="655"/>
      <c r="F78" s="654"/>
      <c r="H78" s="609" t="str">
        <f t="shared" si="14"/>
        <v/>
      </c>
      <c r="I78" s="609" t="str">
        <f t="shared" si="16"/>
        <v/>
      </c>
      <c r="J78" s="609" t="str">
        <f t="shared" si="16"/>
        <v/>
      </c>
      <c r="K78" s="609" t="str">
        <f t="shared" si="16"/>
        <v/>
      </c>
      <c r="L78" s="609" t="str">
        <f t="shared" si="16"/>
        <v/>
      </c>
      <c r="M78" s="609" t="str">
        <f t="shared" si="16"/>
        <v/>
      </c>
      <c r="N78" s="609" t="str">
        <f t="shared" si="16"/>
        <v/>
      </c>
      <c r="O78" s="609" t="str">
        <f t="shared" si="16"/>
        <v/>
      </c>
      <c r="P78" s="609" t="str">
        <f t="shared" si="16"/>
        <v/>
      </c>
      <c r="Q78" s="609" t="str">
        <f t="shared" si="16"/>
        <v/>
      </c>
      <c r="R78" s="609" t="str">
        <f t="shared" si="16"/>
        <v/>
      </c>
      <c r="S78" s="609" t="str">
        <f t="shared" si="16"/>
        <v/>
      </c>
      <c r="T78" s="609" t="str">
        <f t="shared" si="16"/>
        <v/>
      </c>
      <c r="U78" s="609" t="str">
        <f t="shared" si="16"/>
        <v/>
      </c>
      <c r="V78" s="609" t="str">
        <f t="shared" si="16"/>
        <v/>
      </c>
      <c r="W78" s="609" t="str">
        <f t="shared" si="16"/>
        <v/>
      </c>
      <c r="X78" s="609" t="str">
        <f t="shared" si="16"/>
        <v/>
      </c>
      <c r="Y78" s="609" t="str">
        <f t="shared" si="16"/>
        <v/>
      </c>
      <c r="Z78" s="609" t="str">
        <f t="shared" si="16"/>
        <v/>
      </c>
      <c r="AA78" s="609" t="str">
        <f t="shared" si="16"/>
        <v/>
      </c>
      <c r="AB78" s="609" t="str">
        <f t="shared" si="16"/>
        <v/>
      </c>
      <c r="AC78" s="609" t="str">
        <f t="shared" si="16"/>
        <v/>
      </c>
      <c r="AD78" s="609" t="str">
        <f t="shared" si="16"/>
        <v/>
      </c>
      <c r="AE78" s="609" t="str">
        <f t="shared" si="16"/>
        <v/>
      </c>
      <c r="AF78" s="609" t="str">
        <f t="shared" si="16"/>
        <v/>
      </c>
      <c r="AG78" s="609" t="str">
        <f t="shared" si="16"/>
        <v/>
      </c>
      <c r="AH78" s="609" t="str">
        <f t="shared" si="16"/>
        <v/>
      </c>
      <c r="AI78" s="609" t="str">
        <f t="shared" si="16"/>
        <v/>
      </c>
      <c r="AJ78" s="609" t="str">
        <f t="shared" si="16"/>
        <v/>
      </c>
      <c r="AK78" s="609" t="str">
        <f t="shared" si="16"/>
        <v/>
      </c>
      <c r="AL78" s="609" t="str">
        <f t="shared" si="16"/>
        <v/>
      </c>
      <c r="AM78" s="609" t="str">
        <f t="shared" si="16"/>
        <v/>
      </c>
      <c r="AN78" s="609" t="str">
        <f t="shared" si="16"/>
        <v/>
      </c>
      <c r="AO78" s="609" t="str">
        <f t="shared" si="16"/>
        <v/>
      </c>
      <c r="AP78" s="609" t="str">
        <f t="shared" si="16"/>
        <v/>
      </c>
      <c r="AQ78" s="609" t="str">
        <f t="shared" si="16"/>
        <v/>
      </c>
      <c r="AR78" s="609" t="str">
        <f t="shared" si="16"/>
        <v/>
      </c>
      <c r="AS78" s="609" t="str">
        <f t="shared" si="16"/>
        <v/>
      </c>
      <c r="AT78" s="609" t="str">
        <f t="shared" si="16"/>
        <v/>
      </c>
      <c r="AU78" s="609" t="str">
        <f t="shared" si="16"/>
        <v/>
      </c>
      <c r="AV78" s="609" t="str">
        <f t="shared" si="16"/>
        <v/>
      </c>
      <c r="AW78" s="609" t="str">
        <f t="shared" si="16"/>
        <v/>
      </c>
      <c r="AX78" s="609" t="str">
        <f t="shared" si="16"/>
        <v/>
      </c>
      <c r="AY78" s="609" t="str">
        <f t="shared" si="16"/>
        <v/>
      </c>
      <c r="AZ78" s="609" t="str">
        <f t="shared" si="16"/>
        <v/>
      </c>
      <c r="BA78" s="609" t="str">
        <f t="shared" si="16"/>
        <v/>
      </c>
      <c r="BB78" s="609" t="str">
        <f t="shared" si="16"/>
        <v/>
      </c>
      <c r="BC78" s="609" t="str">
        <f t="shared" si="16"/>
        <v/>
      </c>
      <c r="BD78" s="609" t="str">
        <f t="shared" si="16"/>
        <v/>
      </c>
      <c r="BE78" s="609" t="str">
        <f t="shared" si="16"/>
        <v/>
      </c>
      <c r="BF78" s="609" t="str">
        <f t="shared" si="16"/>
        <v/>
      </c>
      <c r="BG78" s="609" t="str">
        <f t="shared" si="16"/>
        <v/>
      </c>
    </row>
    <row r="79" spans="2:59" x14ac:dyDescent="0.25">
      <c r="B79" s="654">
        <v>73</v>
      </c>
      <c r="C79" s="654"/>
      <c r="D79" s="654"/>
      <c r="E79" s="655"/>
      <c r="F79" s="654"/>
      <c r="H79" s="609" t="str">
        <f t="shared" si="14"/>
        <v/>
      </c>
      <c r="I79" s="609" t="str">
        <f t="shared" si="16"/>
        <v/>
      </c>
      <c r="J79" s="609" t="str">
        <f t="shared" si="16"/>
        <v/>
      </c>
      <c r="K79" s="609" t="str">
        <f t="shared" si="16"/>
        <v/>
      </c>
      <c r="L79" s="609" t="str">
        <f t="shared" si="16"/>
        <v/>
      </c>
      <c r="M79" s="609" t="str">
        <f t="shared" si="16"/>
        <v/>
      </c>
      <c r="N79" s="609" t="str">
        <f t="shared" si="16"/>
        <v/>
      </c>
      <c r="O79" s="609" t="str">
        <f t="shared" si="16"/>
        <v/>
      </c>
      <c r="P79" s="609" t="str">
        <f t="shared" si="16"/>
        <v/>
      </c>
      <c r="Q79" s="609" t="str">
        <f t="shared" si="16"/>
        <v/>
      </c>
      <c r="R79" s="609" t="str">
        <f t="shared" si="16"/>
        <v/>
      </c>
      <c r="S79" s="609" t="str">
        <f t="shared" si="16"/>
        <v/>
      </c>
      <c r="T79" s="609" t="str">
        <f t="shared" si="16"/>
        <v/>
      </c>
      <c r="U79" s="609" t="str">
        <f t="shared" si="16"/>
        <v/>
      </c>
      <c r="V79" s="609" t="str">
        <f t="shared" si="16"/>
        <v/>
      </c>
      <c r="W79" s="609" t="str">
        <f t="shared" si="16"/>
        <v/>
      </c>
      <c r="X79" s="609" t="str">
        <f t="shared" si="16"/>
        <v/>
      </c>
      <c r="Y79" s="609" t="str">
        <f t="shared" si="16"/>
        <v/>
      </c>
      <c r="Z79" s="609" t="str">
        <f t="shared" si="16"/>
        <v/>
      </c>
      <c r="AA79" s="609" t="str">
        <f t="shared" si="16"/>
        <v/>
      </c>
      <c r="AB79" s="609" t="str">
        <f t="shared" si="16"/>
        <v/>
      </c>
      <c r="AC79" s="609" t="str">
        <f t="shared" si="16"/>
        <v/>
      </c>
      <c r="AD79" s="609" t="str">
        <f t="shared" si="16"/>
        <v/>
      </c>
      <c r="AE79" s="609" t="str">
        <f t="shared" si="16"/>
        <v/>
      </c>
      <c r="AF79" s="609" t="str">
        <f t="shared" si="16"/>
        <v/>
      </c>
      <c r="AG79" s="609" t="str">
        <f t="shared" si="16"/>
        <v/>
      </c>
      <c r="AH79" s="609" t="str">
        <f t="shared" si="16"/>
        <v/>
      </c>
      <c r="AI79" s="609" t="str">
        <f t="shared" si="16"/>
        <v/>
      </c>
      <c r="AJ79" s="609" t="str">
        <f t="shared" si="16"/>
        <v/>
      </c>
      <c r="AK79" s="609" t="str">
        <f t="shared" si="16"/>
        <v/>
      </c>
      <c r="AL79" s="609" t="str">
        <f t="shared" si="16"/>
        <v/>
      </c>
      <c r="AM79" s="609" t="str">
        <f t="shared" si="16"/>
        <v/>
      </c>
      <c r="AN79" s="609" t="str">
        <f t="shared" si="16"/>
        <v/>
      </c>
      <c r="AO79" s="609" t="str">
        <f t="shared" si="16"/>
        <v/>
      </c>
      <c r="AP79" s="609" t="str">
        <f t="shared" si="16"/>
        <v/>
      </c>
      <c r="AQ79" s="609" t="str">
        <f t="shared" si="16"/>
        <v/>
      </c>
      <c r="AR79" s="609" t="str">
        <f t="shared" si="16"/>
        <v/>
      </c>
      <c r="AS79" s="609" t="str">
        <f t="shared" si="16"/>
        <v/>
      </c>
      <c r="AT79" s="609" t="str">
        <f t="shared" si="16"/>
        <v/>
      </c>
      <c r="AU79" s="609" t="str">
        <f t="shared" si="16"/>
        <v/>
      </c>
      <c r="AV79" s="609" t="str">
        <f t="shared" si="16"/>
        <v/>
      </c>
      <c r="AW79" s="609" t="str">
        <f t="shared" si="16"/>
        <v/>
      </c>
      <c r="AX79" s="609" t="str">
        <f t="shared" si="16"/>
        <v/>
      </c>
      <c r="AY79" s="609" t="str">
        <f t="shared" si="16"/>
        <v/>
      </c>
      <c r="AZ79" s="609" t="str">
        <f t="shared" si="16"/>
        <v/>
      </c>
      <c r="BA79" s="609" t="str">
        <f t="shared" si="16"/>
        <v/>
      </c>
      <c r="BB79" s="609" t="str">
        <f t="shared" si="16"/>
        <v/>
      </c>
      <c r="BC79" s="609" t="str">
        <f t="shared" si="16"/>
        <v/>
      </c>
      <c r="BD79" s="609" t="str">
        <f t="shared" si="16"/>
        <v/>
      </c>
      <c r="BE79" s="609" t="str">
        <f t="shared" si="16"/>
        <v/>
      </c>
      <c r="BF79" s="609" t="str">
        <f t="shared" si="16"/>
        <v/>
      </c>
      <c r="BG79" s="609" t="str">
        <f t="shared" si="16"/>
        <v/>
      </c>
    </row>
    <row r="80" spans="2:59" x14ac:dyDescent="0.25">
      <c r="B80" s="654">
        <v>74</v>
      </c>
      <c r="C80" s="654"/>
      <c r="D80" s="654"/>
      <c r="E80" s="655"/>
      <c r="F80" s="654"/>
      <c r="H80" s="609" t="str">
        <f t="shared" si="14"/>
        <v/>
      </c>
      <c r="I80" s="609" t="str">
        <f t="shared" si="16"/>
        <v/>
      </c>
      <c r="J80" s="609" t="str">
        <f t="shared" si="16"/>
        <v/>
      </c>
      <c r="K80" s="609" t="str">
        <f t="shared" si="16"/>
        <v/>
      </c>
      <c r="L80" s="609" t="str">
        <f t="shared" si="16"/>
        <v/>
      </c>
      <c r="M80" s="609" t="str">
        <f t="shared" si="16"/>
        <v/>
      </c>
      <c r="N80" s="609" t="str">
        <f t="shared" si="16"/>
        <v/>
      </c>
      <c r="O80" s="609" t="str">
        <f t="shared" si="16"/>
        <v/>
      </c>
      <c r="P80" s="609" t="str">
        <f t="shared" si="16"/>
        <v/>
      </c>
      <c r="Q80" s="609" t="str">
        <f t="shared" si="16"/>
        <v/>
      </c>
      <c r="R80" s="609" t="str">
        <f t="shared" si="16"/>
        <v/>
      </c>
      <c r="S80" s="609" t="str">
        <f t="shared" si="16"/>
        <v/>
      </c>
      <c r="T80" s="609" t="str">
        <f t="shared" si="16"/>
        <v/>
      </c>
      <c r="U80" s="609" t="str">
        <f t="shared" si="16"/>
        <v/>
      </c>
      <c r="V80" s="609" t="str">
        <f t="shared" si="16"/>
        <v/>
      </c>
      <c r="W80" s="609" t="str">
        <f t="shared" si="16"/>
        <v/>
      </c>
      <c r="X80" s="609" t="str">
        <f t="shared" si="16"/>
        <v/>
      </c>
      <c r="Y80" s="609" t="str">
        <f t="shared" si="16"/>
        <v/>
      </c>
      <c r="Z80" s="609" t="str">
        <f t="shared" si="16"/>
        <v/>
      </c>
      <c r="AA80" s="609" t="str">
        <f t="shared" si="16"/>
        <v/>
      </c>
      <c r="AB80" s="609" t="str">
        <f t="shared" si="16"/>
        <v/>
      </c>
      <c r="AC80" s="609" t="str">
        <f t="shared" si="16"/>
        <v/>
      </c>
      <c r="AD80" s="609" t="str">
        <f t="shared" si="16"/>
        <v/>
      </c>
      <c r="AE80" s="609" t="str">
        <f t="shared" si="16"/>
        <v/>
      </c>
      <c r="AF80" s="609" t="str">
        <f t="shared" si="16"/>
        <v/>
      </c>
      <c r="AG80" s="609" t="str">
        <f t="shared" si="16"/>
        <v/>
      </c>
      <c r="AH80" s="609" t="str">
        <f t="shared" si="16"/>
        <v/>
      </c>
      <c r="AI80" s="609" t="str">
        <f t="shared" si="16"/>
        <v/>
      </c>
      <c r="AJ80" s="609" t="str">
        <f t="shared" si="16"/>
        <v/>
      </c>
      <c r="AK80" s="609" t="str">
        <f t="shared" si="16"/>
        <v/>
      </c>
      <c r="AL80" s="609" t="str">
        <f t="shared" si="16"/>
        <v/>
      </c>
      <c r="AM80" s="609" t="str">
        <f t="shared" si="16"/>
        <v/>
      </c>
      <c r="AN80" s="609" t="str">
        <f t="shared" si="16"/>
        <v/>
      </c>
      <c r="AO80" s="609" t="str">
        <f t="shared" si="16"/>
        <v/>
      </c>
      <c r="AP80" s="609" t="str">
        <f t="shared" si="16"/>
        <v/>
      </c>
      <c r="AQ80" s="609" t="str">
        <f t="shared" si="16"/>
        <v/>
      </c>
      <c r="AR80" s="609" t="str">
        <f t="shared" si="16"/>
        <v/>
      </c>
      <c r="AS80" s="609" t="str">
        <f t="shared" si="16"/>
        <v/>
      </c>
      <c r="AT80" s="609" t="str">
        <f t="shared" si="16"/>
        <v/>
      </c>
      <c r="AU80" s="609" t="str">
        <f t="shared" si="16"/>
        <v/>
      </c>
      <c r="AV80" s="609" t="str">
        <f t="shared" si="16"/>
        <v/>
      </c>
      <c r="AW80" s="609" t="str">
        <f t="shared" si="16"/>
        <v/>
      </c>
      <c r="AX80" s="609" t="str">
        <f t="shared" si="16"/>
        <v/>
      </c>
      <c r="AY80" s="609" t="str">
        <f t="shared" si="16"/>
        <v/>
      </c>
      <c r="AZ80" s="609" t="str">
        <f t="shared" si="16"/>
        <v/>
      </c>
      <c r="BA80" s="609" t="str">
        <f t="shared" si="16"/>
        <v/>
      </c>
      <c r="BB80" s="609" t="str">
        <f t="shared" si="16"/>
        <v/>
      </c>
      <c r="BC80" s="609" t="str">
        <f t="shared" si="16"/>
        <v/>
      </c>
      <c r="BD80" s="609" t="str">
        <f t="shared" si="16"/>
        <v/>
      </c>
      <c r="BE80" s="609" t="str">
        <f t="shared" si="16"/>
        <v/>
      </c>
      <c r="BF80" s="609" t="str">
        <f t="shared" si="16"/>
        <v/>
      </c>
      <c r="BG80" s="609" t="str">
        <f t="shared" si="16"/>
        <v/>
      </c>
    </row>
    <row r="81" spans="2:59" x14ac:dyDescent="0.25">
      <c r="B81" s="654">
        <v>75</v>
      </c>
      <c r="C81" s="654"/>
      <c r="D81" s="654"/>
      <c r="E81" s="655"/>
      <c r="F81" s="654"/>
      <c r="H81" s="609" t="str">
        <f t="shared" si="14"/>
        <v/>
      </c>
      <c r="I81" s="609" t="str">
        <f t="shared" si="16"/>
        <v/>
      </c>
      <c r="J81" s="609" t="str">
        <f t="shared" si="16"/>
        <v/>
      </c>
      <c r="K81" s="609" t="str">
        <f t="shared" si="16"/>
        <v/>
      </c>
      <c r="L81" s="609" t="str">
        <f t="shared" si="16"/>
        <v/>
      </c>
      <c r="M81" s="609" t="str">
        <f t="shared" si="16"/>
        <v/>
      </c>
      <c r="N81" s="609" t="str">
        <f t="shared" si="16"/>
        <v/>
      </c>
      <c r="O81" s="609" t="str">
        <f t="shared" si="16"/>
        <v/>
      </c>
      <c r="P81" s="609" t="str">
        <f t="shared" si="16"/>
        <v/>
      </c>
      <c r="Q81" s="609" t="str">
        <f t="shared" si="16"/>
        <v/>
      </c>
      <c r="R81" s="609" t="str">
        <f t="shared" si="16"/>
        <v/>
      </c>
      <c r="S81" s="609" t="str">
        <f t="shared" si="16"/>
        <v/>
      </c>
      <c r="T81" s="609" t="str">
        <f t="shared" si="16"/>
        <v/>
      </c>
      <c r="U81" s="609" t="str">
        <f t="shared" si="16"/>
        <v/>
      </c>
      <c r="V81" s="609" t="str">
        <f t="shared" si="16"/>
        <v/>
      </c>
      <c r="W81" s="609" t="str">
        <f t="shared" si="16"/>
        <v/>
      </c>
      <c r="X81" s="609" t="str">
        <f t="shared" si="16"/>
        <v/>
      </c>
      <c r="Y81" s="609" t="str">
        <f t="shared" si="16"/>
        <v/>
      </c>
      <c r="Z81" s="609" t="str">
        <f t="shared" si="16"/>
        <v/>
      </c>
      <c r="AA81" s="609" t="str">
        <f t="shared" si="16"/>
        <v/>
      </c>
      <c r="AB81" s="609" t="str">
        <f t="shared" si="16"/>
        <v/>
      </c>
      <c r="AC81" s="609" t="str">
        <f t="shared" si="16"/>
        <v/>
      </c>
      <c r="AD81" s="609" t="str">
        <f t="shared" si="16"/>
        <v/>
      </c>
      <c r="AE81" s="609" t="str">
        <f t="shared" si="16"/>
        <v/>
      </c>
      <c r="AF81" s="609" t="str">
        <f t="shared" si="16"/>
        <v/>
      </c>
      <c r="AG81" s="609" t="str">
        <f t="shared" si="16"/>
        <v/>
      </c>
      <c r="AH81" s="609" t="str">
        <f t="shared" si="16"/>
        <v/>
      </c>
      <c r="AI81" s="609" t="str">
        <f t="shared" si="16"/>
        <v/>
      </c>
      <c r="AJ81" s="609" t="str">
        <f t="shared" si="16"/>
        <v/>
      </c>
      <c r="AK81" s="609" t="str">
        <f t="shared" si="16"/>
        <v/>
      </c>
      <c r="AL81" s="609" t="str">
        <f t="shared" si="16"/>
        <v/>
      </c>
      <c r="AM81" s="609" t="str">
        <f t="shared" si="16"/>
        <v/>
      </c>
      <c r="AN81" s="609" t="str">
        <f t="shared" si="16"/>
        <v/>
      </c>
      <c r="AO81" s="609" t="str">
        <f t="shared" si="16"/>
        <v/>
      </c>
      <c r="AP81" s="609" t="str">
        <f t="shared" si="16"/>
        <v/>
      </c>
      <c r="AQ81" s="609" t="str">
        <f t="shared" si="16"/>
        <v/>
      </c>
      <c r="AR81" s="609" t="str">
        <f t="shared" si="16"/>
        <v/>
      </c>
      <c r="AS81" s="609" t="str">
        <f t="shared" si="16"/>
        <v/>
      </c>
      <c r="AT81" s="609" t="str">
        <f t="shared" si="16"/>
        <v/>
      </c>
      <c r="AU81" s="609" t="str">
        <f t="shared" si="16"/>
        <v/>
      </c>
      <c r="AV81" s="609" t="str">
        <f t="shared" si="16"/>
        <v/>
      </c>
      <c r="AW81" s="609" t="str">
        <f t="shared" si="16"/>
        <v/>
      </c>
      <c r="AX81" s="609" t="str">
        <f t="shared" si="16"/>
        <v/>
      </c>
      <c r="AY81" s="609" t="str">
        <f t="shared" si="16"/>
        <v/>
      </c>
      <c r="AZ81" s="609" t="str">
        <f t="shared" si="16"/>
        <v/>
      </c>
      <c r="BA81" s="609" t="str">
        <f t="shared" si="16"/>
        <v/>
      </c>
      <c r="BB81" s="609" t="str">
        <f t="shared" si="16"/>
        <v/>
      </c>
      <c r="BC81" s="609" t="str">
        <f t="shared" si="16"/>
        <v/>
      </c>
      <c r="BD81" s="609" t="str">
        <f t="shared" si="16"/>
        <v/>
      </c>
      <c r="BE81" s="609" t="str">
        <f t="shared" si="16"/>
        <v/>
      </c>
      <c r="BF81" s="609" t="str">
        <f t="shared" si="16"/>
        <v/>
      </c>
      <c r="BG81" s="609" t="str">
        <f t="shared" si="16"/>
        <v/>
      </c>
    </row>
    <row r="82" spans="2:59" x14ac:dyDescent="0.25">
      <c r="B82" s="654">
        <v>76</v>
      </c>
      <c r="C82" s="654"/>
      <c r="D82" s="654"/>
      <c r="E82" s="655"/>
      <c r="F82" s="654"/>
      <c r="H82" s="609" t="str">
        <f t="shared" si="14"/>
        <v/>
      </c>
      <c r="I82" s="609" t="str">
        <f t="shared" si="16"/>
        <v/>
      </c>
      <c r="J82" s="609" t="str">
        <f t="shared" si="16"/>
        <v/>
      </c>
      <c r="K82" s="609" t="str">
        <f t="shared" si="16"/>
        <v/>
      </c>
      <c r="L82" s="609" t="str">
        <f t="shared" si="16"/>
        <v/>
      </c>
      <c r="M82" s="609" t="str">
        <f t="shared" si="16"/>
        <v/>
      </c>
      <c r="N82" s="609" t="str">
        <f t="shared" si="16"/>
        <v/>
      </c>
      <c r="O82" s="609" t="str">
        <f t="shared" si="16"/>
        <v/>
      </c>
      <c r="P82" s="609" t="str">
        <f t="shared" si="16"/>
        <v/>
      </c>
      <c r="Q82" s="609" t="str">
        <f t="shared" si="16"/>
        <v/>
      </c>
      <c r="R82" s="609" t="str">
        <f t="shared" si="16"/>
        <v/>
      </c>
      <c r="S82" s="609" t="str">
        <f t="shared" si="16"/>
        <v/>
      </c>
      <c r="T82" s="609" t="str">
        <f t="shared" si="16"/>
        <v/>
      </c>
      <c r="U82" s="609" t="str">
        <f t="shared" si="16"/>
        <v/>
      </c>
      <c r="V82" s="609" t="str">
        <f t="shared" si="16"/>
        <v/>
      </c>
      <c r="W82" s="609" t="str">
        <f t="shared" si="16"/>
        <v/>
      </c>
      <c r="X82" s="609" t="str">
        <f t="shared" si="16"/>
        <v/>
      </c>
      <c r="Y82" s="609" t="str">
        <f t="shared" si="16"/>
        <v/>
      </c>
      <c r="Z82" s="609" t="str">
        <f t="shared" si="16"/>
        <v/>
      </c>
      <c r="AA82" s="609" t="str">
        <f t="shared" si="16"/>
        <v/>
      </c>
      <c r="AB82" s="609" t="str">
        <f t="shared" si="16"/>
        <v/>
      </c>
      <c r="AC82" s="609" t="str">
        <f t="shared" si="16"/>
        <v/>
      </c>
      <c r="AD82" s="609" t="str">
        <f t="shared" si="16"/>
        <v/>
      </c>
      <c r="AE82" s="609" t="str">
        <f t="shared" si="16"/>
        <v/>
      </c>
      <c r="AF82" s="609" t="str">
        <f t="shared" si="16"/>
        <v/>
      </c>
      <c r="AG82" s="609" t="str">
        <f t="shared" si="16"/>
        <v/>
      </c>
      <c r="AH82" s="609" t="str">
        <f t="shared" si="16"/>
        <v/>
      </c>
      <c r="AI82" s="609" t="str">
        <f t="shared" si="16"/>
        <v/>
      </c>
      <c r="AJ82" s="609" t="str">
        <f t="shared" si="16"/>
        <v/>
      </c>
      <c r="AK82" s="609" t="str">
        <f t="shared" si="16"/>
        <v/>
      </c>
      <c r="AL82" s="609" t="str">
        <f t="shared" si="16"/>
        <v/>
      </c>
      <c r="AM82" s="609" t="str">
        <f t="shared" ref="I82:BG87" si="17">IF($D82=AM$6,$B82&amp;", ","")</f>
        <v/>
      </c>
      <c r="AN82" s="609" t="str">
        <f t="shared" si="17"/>
        <v/>
      </c>
      <c r="AO82" s="609" t="str">
        <f t="shared" si="17"/>
        <v/>
      </c>
      <c r="AP82" s="609" t="str">
        <f t="shared" si="17"/>
        <v/>
      </c>
      <c r="AQ82" s="609" t="str">
        <f t="shared" si="17"/>
        <v/>
      </c>
      <c r="AR82" s="609" t="str">
        <f t="shared" si="17"/>
        <v/>
      </c>
      <c r="AS82" s="609" t="str">
        <f t="shared" si="17"/>
        <v/>
      </c>
      <c r="AT82" s="609" t="str">
        <f t="shared" si="17"/>
        <v/>
      </c>
      <c r="AU82" s="609" t="str">
        <f t="shared" si="17"/>
        <v/>
      </c>
      <c r="AV82" s="609" t="str">
        <f t="shared" si="17"/>
        <v/>
      </c>
      <c r="AW82" s="609" t="str">
        <f t="shared" si="17"/>
        <v/>
      </c>
      <c r="AX82" s="609" t="str">
        <f t="shared" si="17"/>
        <v/>
      </c>
      <c r="AY82" s="609" t="str">
        <f t="shared" si="17"/>
        <v/>
      </c>
      <c r="AZ82" s="609" t="str">
        <f t="shared" si="17"/>
        <v/>
      </c>
      <c r="BA82" s="609" t="str">
        <f t="shared" si="17"/>
        <v/>
      </c>
      <c r="BB82" s="609" t="str">
        <f t="shared" si="17"/>
        <v/>
      </c>
      <c r="BC82" s="609" t="str">
        <f t="shared" si="17"/>
        <v/>
      </c>
      <c r="BD82" s="609" t="str">
        <f t="shared" si="17"/>
        <v/>
      </c>
      <c r="BE82" s="609" t="str">
        <f t="shared" si="17"/>
        <v/>
      </c>
      <c r="BF82" s="609" t="str">
        <f t="shared" si="17"/>
        <v/>
      </c>
      <c r="BG82" s="609" t="str">
        <f t="shared" si="17"/>
        <v/>
      </c>
    </row>
    <row r="83" spans="2:59" x14ac:dyDescent="0.25">
      <c r="B83" s="654">
        <v>77</v>
      </c>
      <c r="C83" s="654"/>
      <c r="D83" s="654"/>
      <c r="E83" s="655"/>
      <c r="F83" s="654"/>
      <c r="H83" s="609" t="str">
        <f t="shared" si="14"/>
        <v/>
      </c>
      <c r="I83" s="609" t="str">
        <f t="shared" si="17"/>
        <v/>
      </c>
      <c r="J83" s="609" t="str">
        <f t="shared" si="17"/>
        <v/>
      </c>
      <c r="K83" s="609" t="str">
        <f t="shared" si="17"/>
        <v/>
      </c>
      <c r="L83" s="609" t="str">
        <f t="shared" si="17"/>
        <v/>
      </c>
      <c r="M83" s="609" t="str">
        <f t="shared" si="17"/>
        <v/>
      </c>
      <c r="N83" s="609" t="str">
        <f t="shared" si="17"/>
        <v/>
      </c>
      <c r="O83" s="609" t="str">
        <f t="shared" si="17"/>
        <v/>
      </c>
      <c r="P83" s="609" t="str">
        <f t="shared" si="17"/>
        <v/>
      </c>
      <c r="Q83" s="609" t="str">
        <f t="shared" si="17"/>
        <v/>
      </c>
      <c r="R83" s="609" t="str">
        <f t="shared" si="17"/>
        <v/>
      </c>
      <c r="S83" s="609" t="str">
        <f t="shared" si="17"/>
        <v/>
      </c>
      <c r="T83" s="609" t="str">
        <f t="shared" si="17"/>
        <v/>
      </c>
      <c r="U83" s="609" t="str">
        <f t="shared" si="17"/>
        <v/>
      </c>
      <c r="V83" s="609" t="str">
        <f t="shared" si="17"/>
        <v/>
      </c>
      <c r="W83" s="609" t="str">
        <f t="shared" si="17"/>
        <v/>
      </c>
      <c r="X83" s="609" t="str">
        <f t="shared" si="17"/>
        <v/>
      </c>
      <c r="Y83" s="609" t="str">
        <f t="shared" si="17"/>
        <v/>
      </c>
      <c r="Z83" s="609" t="str">
        <f t="shared" si="17"/>
        <v/>
      </c>
      <c r="AA83" s="609" t="str">
        <f t="shared" si="17"/>
        <v/>
      </c>
      <c r="AB83" s="609" t="str">
        <f t="shared" si="17"/>
        <v/>
      </c>
      <c r="AC83" s="609" t="str">
        <f t="shared" si="17"/>
        <v/>
      </c>
      <c r="AD83" s="609" t="str">
        <f t="shared" si="17"/>
        <v/>
      </c>
      <c r="AE83" s="609" t="str">
        <f t="shared" si="17"/>
        <v/>
      </c>
      <c r="AF83" s="609" t="str">
        <f t="shared" si="17"/>
        <v/>
      </c>
      <c r="AG83" s="609" t="str">
        <f t="shared" si="17"/>
        <v/>
      </c>
      <c r="AH83" s="609" t="str">
        <f t="shared" si="17"/>
        <v/>
      </c>
      <c r="AI83" s="609" t="str">
        <f t="shared" si="17"/>
        <v/>
      </c>
      <c r="AJ83" s="609" t="str">
        <f t="shared" si="17"/>
        <v/>
      </c>
      <c r="AK83" s="609" t="str">
        <f t="shared" si="17"/>
        <v/>
      </c>
      <c r="AL83" s="609" t="str">
        <f t="shared" si="17"/>
        <v/>
      </c>
      <c r="AM83" s="609" t="str">
        <f t="shared" si="17"/>
        <v/>
      </c>
      <c r="AN83" s="609" t="str">
        <f t="shared" si="17"/>
        <v/>
      </c>
      <c r="AO83" s="609" t="str">
        <f t="shared" si="17"/>
        <v/>
      </c>
      <c r="AP83" s="609" t="str">
        <f t="shared" si="17"/>
        <v/>
      </c>
      <c r="AQ83" s="609" t="str">
        <f t="shared" si="17"/>
        <v/>
      </c>
      <c r="AR83" s="609" t="str">
        <f t="shared" si="17"/>
        <v/>
      </c>
      <c r="AS83" s="609" t="str">
        <f t="shared" si="17"/>
        <v/>
      </c>
      <c r="AT83" s="609" t="str">
        <f t="shared" si="17"/>
        <v/>
      </c>
      <c r="AU83" s="609" t="str">
        <f t="shared" si="17"/>
        <v/>
      </c>
      <c r="AV83" s="609" t="str">
        <f t="shared" si="17"/>
        <v/>
      </c>
      <c r="AW83" s="609" t="str">
        <f t="shared" si="17"/>
        <v/>
      </c>
      <c r="AX83" s="609" t="str">
        <f t="shared" si="17"/>
        <v/>
      </c>
      <c r="AY83" s="609" t="str">
        <f t="shared" si="17"/>
        <v/>
      </c>
      <c r="AZ83" s="609" t="str">
        <f t="shared" si="17"/>
        <v/>
      </c>
      <c r="BA83" s="609" t="str">
        <f t="shared" si="17"/>
        <v/>
      </c>
      <c r="BB83" s="609" t="str">
        <f t="shared" si="17"/>
        <v/>
      </c>
      <c r="BC83" s="609" t="str">
        <f t="shared" si="17"/>
        <v/>
      </c>
      <c r="BD83" s="609" t="str">
        <f t="shared" si="17"/>
        <v/>
      </c>
      <c r="BE83" s="609" t="str">
        <f t="shared" si="17"/>
        <v/>
      </c>
      <c r="BF83" s="609" t="str">
        <f t="shared" si="17"/>
        <v/>
      </c>
      <c r="BG83" s="609" t="str">
        <f t="shared" si="17"/>
        <v/>
      </c>
    </row>
    <row r="84" spans="2:59" x14ac:dyDescent="0.25">
      <c r="B84" s="654">
        <v>78</v>
      </c>
      <c r="C84" s="654"/>
      <c r="D84" s="654"/>
      <c r="E84" s="655"/>
      <c r="F84" s="654"/>
      <c r="H84" s="609" t="str">
        <f t="shared" si="14"/>
        <v/>
      </c>
      <c r="I84" s="609" t="str">
        <f t="shared" si="17"/>
        <v/>
      </c>
      <c r="J84" s="609" t="str">
        <f t="shared" si="17"/>
        <v/>
      </c>
      <c r="K84" s="609" t="str">
        <f t="shared" si="17"/>
        <v/>
      </c>
      <c r="L84" s="609" t="str">
        <f t="shared" si="17"/>
        <v/>
      </c>
      <c r="M84" s="609" t="str">
        <f t="shared" si="17"/>
        <v/>
      </c>
      <c r="N84" s="609" t="str">
        <f t="shared" si="17"/>
        <v/>
      </c>
      <c r="O84" s="609" t="str">
        <f t="shared" si="17"/>
        <v/>
      </c>
      <c r="P84" s="609" t="str">
        <f t="shared" si="17"/>
        <v/>
      </c>
      <c r="Q84" s="609" t="str">
        <f t="shared" si="17"/>
        <v/>
      </c>
      <c r="R84" s="609" t="str">
        <f t="shared" si="17"/>
        <v/>
      </c>
      <c r="S84" s="609" t="str">
        <f t="shared" si="17"/>
        <v/>
      </c>
      <c r="T84" s="609" t="str">
        <f t="shared" si="17"/>
        <v/>
      </c>
      <c r="U84" s="609" t="str">
        <f t="shared" si="17"/>
        <v/>
      </c>
      <c r="V84" s="609" t="str">
        <f t="shared" si="17"/>
        <v/>
      </c>
      <c r="W84" s="609" t="str">
        <f t="shared" si="17"/>
        <v/>
      </c>
      <c r="X84" s="609" t="str">
        <f t="shared" si="17"/>
        <v/>
      </c>
      <c r="Y84" s="609" t="str">
        <f t="shared" si="17"/>
        <v/>
      </c>
      <c r="Z84" s="609" t="str">
        <f t="shared" si="17"/>
        <v/>
      </c>
      <c r="AA84" s="609" t="str">
        <f t="shared" si="17"/>
        <v/>
      </c>
      <c r="AB84" s="609" t="str">
        <f t="shared" si="17"/>
        <v/>
      </c>
      <c r="AC84" s="609" t="str">
        <f t="shared" si="17"/>
        <v/>
      </c>
      <c r="AD84" s="609" t="str">
        <f t="shared" si="17"/>
        <v/>
      </c>
      <c r="AE84" s="609" t="str">
        <f t="shared" si="17"/>
        <v/>
      </c>
      <c r="AF84" s="609" t="str">
        <f t="shared" si="17"/>
        <v/>
      </c>
      <c r="AG84" s="609" t="str">
        <f t="shared" si="17"/>
        <v/>
      </c>
      <c r="AH84" s="609" t="str">
        <f t="shared" si="17"/>
        <v/>
      </c>
      <c r="AI84" s="609" t="str">
        <f t="shared" si="17"/>
        <v/>
      </c>
      <c r="AJ84" s="609" t="str">
        <f t="shared" si="17"/>
        <v/>
      </c>
      <c r="AK84" s="609" t="str">
        <f t="shared" si="17"/>
        <v/>
      </c>
      <c r="AL84" s="609" t="str">
        <f t="shared" si="17"/>
        <v/>
      </c>
      <c r="AM84" s="609" t="str">
        <f t="shared" si="17"/>
        <v/>
      </c>
      <c r="AN84" s="609" t="str">
        <f t="shared" si="17"/>
        <v/>
      </c>
      <c r="AO84" s="609" t="str">
        <f t="shared" si="17"/>
        <v/>
      </c>
      <c r="AP84" s="609" t="str">
        <f t="shared" si="17"/>
        <v/>
      </c>
      <c r="AQ84" s="609" t="str">
        <f t="shared" si="17"/>
        <v/>
      </c>
      <c r="AR84" s="609" t="str">
        <f t="shared" si="17"/>
        <v/>
      </c>
      <c r="AS84" s="609" t="str">
        <f t="shared" si="17"/>
        <v/>
      </c>
      <c r="AT84" s="609" t="str">
        <f t="shared" si="17"/>
        <v/>
      </c>
      <c r="AU84" s="609" t="str">
        <f t="shared" si="17"/>
        <v/>
      </c>
      <c r="AV84" s="609" t="str">
        <f t="shared" si="17"/>
        <v/>
      </c>
      <c r="AW84" s="609" t="str">
        <f t="shared" si="17"/>
        <v/>
      </c>
      <c r="AX84" s="609" t="str">
        <f t="shared" si="17"/>
        <v/>
      </c>
      <c r="AY84" s="609" t="str">
        <f t="shared" si="17"/>
        <v/>
      </c>
      <c r="AZ84" s="609" t="str">
        <f t="shared" si="17"/>
        <v/>
      </c>
      <c r="BA84" s="609" t="str">
        <f t="shared" si="17"/>
        <v/>
      </c>
      <c r="BB84" s="609" t="str">
        <f t="shared" si="17"/>
        <v/>
      </c>
      <c r="BC84" s="609" t="str">
        <f t="shared" si="17"/>
        <v/>
      </c>
      <c r="BD84" s="609" t="str">
        <f t="shared" si="17"/>
        <v/>
      </c>
      <c r="BE84" s="609" t="str">
        <f t="shared" si="17"/>
        <v/>
      </c>
      <c r="BF84" s="609" t="str">
        <f t="shared" si="17"/>
        <v/>
      </c>
      <c r="BG84" s="609" t="str">
        <f t="shared" si="17"/>
        <v/>
      </c>
    </row>
    <row r="85" spans="2:59" x14ac:dyDescent="0.25">
      <c r="B85" s="654">
        <v>79</v>
      </c>
      <c r="C85" s="654"/>
      <c r="D85" s="654"/>
      <c r="E85" s="655"/>
      <c r="F85" s="654"/>
      <c r="H85" s="609" t="str">
        <f t="shared" si="14"/>
        <v/>
      </c>
      <c r="I85" s="609" t="str">
        <f t="shared" si="17"/>
        <v/>
      </c>
      <c r="J85" s="609" t="str">
        <f t="shared" si="17"/>
        <v/>
      </c>
      <c r="K85" s="609" t="str">
        <f t="shared" si="17"/>
        <v/>
      </c>
      <c r="L85" s="609" t="str">
        <f t="shared" si="17"/>
        <v/>
      </c>
      <c r="M85" s="609" t="str">
        <f t="shared" si="17"/>
        <v/>
      </c>
      <c r="N85" s="609" t="str">
        <f t="shared" si="17"/>
        <v/>
      </c>
      <c r="O85" s="609" t="str">
        <f t="shared" si="17"/>
        <v/>
      </c>
      <c r="P85" s="609" t="str">
        <f t="shared" si="17"/>
        <v/>
      </c>
      <c r="Q85" s="609" t="str">
        <f t="shared" si="17"/>
        <v/>
      </c>
      <c r="R85" s="609" t="str">
        <f t="shared" si="17"/>
        <v/>
      </c>
      <c r="S85" s="609" t="str">
        <f t="shared" si="17"/>
        <v/>
      </c>
      <c r="T85" s="609" t="str">
        <f t="shared" si="17"/>
        <v/>
      </c>
      <c r="U85" s="609" t="str">
        <f t="shared" si="17"/>
        <v/>
      </c>
      <c r="V85" s="609" t="str">
        <f t="shared" si="17"/>
        <v/>
      </c>
      <c r="W85" s="609" t="str">
        <f t="shared" si="17"/>
        <v/>
      </c>
      <c r="X85" s="609" t="str">
        <f t="shared" si="17"/>
        <v/>
      </c>
      <c r="Y85" s="609" t="str">
        <f t="shared" si="17"/>
        <v/>
      </c>
      <c r="Z85" s="609" t="str">
        <f t="shared" si="17"/>
        <v/>
      </c>
      <c r="AA85" s="609" t="str">
        <f t="shared" si="17"/>
        <v/>
      </c>
      <c r="AB85" s="609" t="str">
        <f t="shared" si="17"/>
        <v/>
      </c>
      <c r="AC85" s="609" t="str">
        <f t="shared" si="17"/>
        <v/>
      </c>
      <c r="AD85" s="609" t="str">
        <f t="shared" si="17"/>
        <v/>
      </c>
      <c r="AE85" s="609" t="str">
        <f t="shared" si="17"/>
        <v/>
      </c>
      <c r="AF85" s="609" t="str">
        <f t="shared" si="17"/>
        <v/>
      </c>
      <c r="AG85" s="609" t="str">
        <f t="shared" si="17"/>
        <v/>
      </c>
      <c r="AH85" s="609" t="str">
        <f t="shared" si="17"/>
        <v/>
      </c>
      <c r="AI85" s="609" t="str">
        <f t="shared" si="17"/>
        <v/>
      </c>
      <c r="AJ85" s="609" t="str">
        <f t="shared" si="17"/>
        <v/>
      </c>
      <c r="AK85" s="609" t="str">
        <f t="shared" si="17"/>
        <v/>
      </c>
      <c r="AL85" s="609" t="str">
        <f t="shared" si="17"/>
        <v/>
      </c>
      <c r="AM85" s="609" t="str">
        <f t="shared" si="17"/>
        <v/>
      </c>
      <c r="AN85" s="609" t="str">
        <f t="shared" si="17"/>
        <v/>
      </c>
      <c r="AO85" s="609" t="str">
        <f t="shared" si="17"/>
        <v/>
      </c>
      <c r="AP85" s="609" t="str">
        <f t="shared" si="17"/>
        <v/>
      </c>
      <c r="AQ85" s="609" t="str">
        <f t="shared" si="17"/>
        <v/>
      </c>
      <c r="AR85" s="609" t="str">
        <f t="shared" si="17"/>
        <v/>
      </c>
      <c r="AS85" s="609" t="str">
        <f t="shared" si="17"/>
        <v/>
      </c>
      <c r="AT85" s="609" t="str">
        <f t="shared" si="17"/>
        <v/>
      </c>
      <c r="AU85" s="609" t="str">
        <f t="shared" si="17"/>
        <v/>
      </c>
      <c r="AV85" s="609" t="str">
        <f t="shared" si="17"/>
        <v/>
      </c>
      <c r="AW85" s="609" t="str">
        <f t="shared" si="17"/>
        <v/>
      </c>
      <c r="AX85" s="609" t="str">
        <f t="shared" si="17"/>
        <v/>
      </c>
      <c r="AY85" s="609" t="str">
        <f t="shared" si="17"/>
        <v/>
      </c>
      <c r="AZ85" s="609" t="str">
        <f t="shared" si="17"/>
        <v/>
      </c>
      <c r="BA85" s="609" t="str">
        <f t="shared" si="17"/>
        <v/>
      </c>
      <c r="BB85" s="609" t="str">
        <f t="shared" si="17"/>
        <v/>
      </c>
      <c r="BC85" s="609" t="str">
        <f t="shared" si="17"/>
        <v/>
      </c>
      <c r="BD85" s="609" t="str">
        <f t="shared" si="17"/>
        <v/>
      </c>
      <c r="BE85" s="609" t="str">
        <f t="shared" si="17"/>
        <v/>
      </c>
      <c r="BF85" s="609" t="str">
        <f t="shared" si="17"/>
        <v/>
      </c>
      <c r="BG85" s="609" t="str">
        <f t="shared" si="17"/>
        <v/>
      </c>
    </row>
    <row r="86" spans="2:59" x14ac:dyDescent="0.25">
      <c r="B86" s="654">
        <v>80</v>
      </c>
      <c r="C86" s="654"/>
      <c r="D86" s="654"/>
      <c r="E86" s="655"/>
      <c r="F86" s="654"/>
      <c r="H86" s="609" t="str">
        <f t="shared" si="14"/>
        <v/>
      </c>
      <c r="I86" s="609" t="str">
        <f t="shared" si="17"/>
        <v/>
      </c>
      <c r="J86" s="609" t="str">
        <f t="shared" si="17"/>
        <v/>
      </c>
      <c r="K86" s="609" t="str">
        <f t="shared" si="17"/>
        <v/>
      </c>
      <c r="L86" s="609" t="str">
        <f t="shared" si="17"/>
        <v/>
      </c>
      <c r="M86" s="609" t="str">
        <f t="shared" si="17"/>
        <v/>
      </c>
      <c r="N86" s="609" t="str">
        <f t="shared" si="17"/>
        <v/>
      </c>
      <c r="O86" s="609" t="str">
        <f t="shared" si="17"/>
        <v/>
      </c>
      <c r="P86" s="609" t="str">
        <f t="shared" si="17"/>
        <v/>
      </c>
      <c r="Q86" s="609" t="str">
        <f t="shared" si="17"/>
        <v/>
      </c>
      <c r="R86" s="609" t="str">
        <f t="shared" si="17"/>
        <v/>
      </c>
      <c r="S86" s="609" t="str">
        <f t="shared" si="17"/>
        <v/>
      </c>
      <c r="T86" s="609" t="str">
        <f t="shared" si="17"/>
        <v/>
      </c>
      <c r="U86" s="609" t="str">
        <f t="shared" si="17"/>
        <v/>
      </c>
      <c r="V86" s="609" t="str">
        <f t="shared" si="17"/>
        <v/>
      </c>
      <c r="W86" s="609" t="str">
        <f t="shared" si="17"/>
        <v/>
      </c>
      <c r="X86" s="609" t="str">
        <f t="shared" si="17"/>
        <v/>
      </c>
      <c r="Y86" s="609" t="str">
        <f t="shared" si="17"/>
        <v/>
      </c>
      <c r="Z86" s="609" t="str">
        <f t="shared" si="17"/>
        <v/>
      </c>
      <c r="AA86" s="609" t="str">
        <f t="shared" si="17"/>
        <v/>
      </c>
      <c r="AB86" s="609" t="str">
        <f t="shared" si="17"/>
        <v/>
      </c>
      <c r="AC86" s="609" t="str">
        <f t="shared" si="17"/>
        <v/>
      </c>
      <c r="AD86" s="609" t="str">
        <f t="shared" si="17"/>
        <v/>
      </c>
      <c r="AE86" s="609" t="str">
        <f t="shared" si="17"/>
        <v/>
      </c>
      <c r="AF86" s="609" t="str">
        <f t="shared" si="17"/>
        <v/>
      </c>
      <c r="AG86" s="609" t="str">
        <f t="shared" si="17"/>
        <v/>
      </c>
      <c r="AH86" s="609" t="str">
        <f t="shared" si="17"/>
        <v/>
      </c>
      <c r="AI86" s="609" t="str">
        <f t="shared" si="17"/>
        <v/>
      </c>
      <c r="AJ86" s="609" t="str">
        <f t="shared" si="17"/>
        <v/>
      </c>
      <c r="AK86" s="609" t="str">
        <f t="shared" si="17"/>
        <v/>
      </c>
      <c r="AL86" s="609" t="str">
        <f t="shared" si="17"/>
        <v/>
      </c>
      <c r="AM86" s="609" t="str">
        <f t="shared" si="17"/>
        <v/>
      </c>
      <c r="AN86" s="609" t="str">
        <f t="shared" si="17"/>
        <v/>
      </c>
      <c r="AO86" s="609" t="str">
        <f t="shared" si="17"/>
        <v/>
      </c>
      <c r="AP86" s="609" t="str">
        <f t="shared" si="17"/>
        <v/>
      </c>
      <c r="AQ86" s="609" t="str">
        <f t="shared" si="17"/>
        <v/>
      </c>
      <c r="AR86" s="609" t="str">
        <f t="shared" si="17"/>
        <v/>
      </c>
      <c r="AS86" s="609" t="str">
        <f t="shared" si="17"/>
        <v/>
      </c>
      <c r="AT86" s="609" t="str">
        <f t="shared" si="17"/>
        <v/>
      </c>
      <c r="AU86" s="609" t="str">
        <f t="shared" si="17"/>
        <v/>
      </c>
      <c r="AV86" s="609" t="str">
        <f t="shared" si="17"/>
        <v/>
      </c>
      <c r="AW86" s="609" t="str">
        <f t="shared" si="17"/>
        <v/>
      </c>
      <c r="AX86" s="609" t="str">
        <f t="shared" si="17"/>
        <v/>
      </c>
      <c r="AY86" s="609" t="str">
        <f t="shared" si="17"/>
        <v/>
      </c>
      <c r="AZ86" s="609" t="str">
        <f t="shared" si="17"/>
        <v/>
      </c>
      <c r="BA86" s="609" t="str">
        <f t="shared" si="17"/>
        <v/>
      </c>
      <c r="BB86" s="609" t="str">
        <f t="shared" si="17"/>
        <v/>
      </c>
      <c r="BC86" s="609" t="str">
        <f t="shared" si="17"/>
        <v/>
      </c>
      <c r="BD86" s="609" t="str">
        <f t="shared" si="17"/>
        <v/>
      </c>
      <c r="BE86" s="609" t="str">
        <f t="shared" si="17"/>
        <v/>
      </c>
      <c r="BF86" s="609" t="str">
        <f t="shared" si="17"/>
        <v/>
      </c>
      <c r="BG86" s="609" t="str">
        <f t="shared" si="17"/>
        <v/>
      </c>
    </row>
    <row r="87" spans="2:59" x14ac:dyDescent="0.25">
      <c r="B87" s="654">
        <v>81</v>
      </c>
      <c r="C87" s="654"/>
      <c r="D87" s="654"/>
      <c r="E87" s="655"/>
      <c r="F87" s="654"/>
      <c r="H87" s="609" t="str">
        <f t="shared" si="14"/>
        <v/>
      </c>
      <c r="I87" s="609" t="str">
        <f t="shared" si="17"/>
        <v/>
      </c>
      <c r="J87" s="609" t="str">
        <f t="shared" si="17"/>
        <v/>
      </c>
      <c r="K87" s="609" t="str">
        <f t="shared" si="17"/>
        <v/>
      </c>
      <c r="L87" s="609" t="str">
        <f t="shared" si="17"/>
        <v/>
      </c>
      <c r="M87" s="609" t="str">
        <f t="shared" si="17"/>
        <v/>
      </c>
      <c r="N87" s="609" t="str">
        <f t="shared" si="17"/>
        <v/>
      </c>
      <c r="O87" s="609" t="str">
        <f t="shared" si="17"/>
        <v/>
      </c>
      <c r="P87" s="609" t="str">
        <f t="shared" si="17"/>
        <v/>
      </c>
      <c r="Q87" s="609" t="str">
        <f t="shared" si="17"/>
        <v/>
      </c>
      <c r="R87" s="609" t="str">
        <f t="shared" si="17"/>
        <v/>
      </c>
      <c r="S87" s="609" t="str">
        <f t="shared" si="17"/>
        <v/>
      </c>
      <c r="T87" s="609" t="str">
        <f t="shared" si="17"/>
        <v/>
      </c>
      <c r="U87" s="609" t="str">
        <f t="shared" si="17"/>
        <v/>
      </c>
      <c r="V87" s="609" t="str">
        <f t="shared" si="17"/>
        <v/>
      </c>
      <c r="W87" s="609" t="str">
        <f t="shared" si="17"/>
        <v/>
      </c>
      <c r="X87" s="609" t="str">
        <f t="shared" si="17"/>
        <v/>
      </c>
      <c r="Y87" s="609" t="str">
        <f t="shared" si="17"/>
        <v/>
      </c>
      <c r="Z87" s="609" t="str">
        <f t="shared" si="17"/>
        <v/>
      </c>
      <c r="AA87" s="609" t="str">
        <f t="shared" si="17"/>
        <v/>
      </c>
      <c r="AB87" s="609" t="str">
        <f t="shared" si="17"/>
        <v/>
      </c>
      <c r="AC87" s="609" t="str">
        <f t="shared" si="17"/>
        <v/>
      </c>
      <c r="AD87" s="609" t="str">
        <f t="shared" si="17"/>
        <v/>
      </c>
      <c r="AE87" s="609" t="str">
        <f t="shared" si="17"/>
        <v/>
      </c>
      <c r="AF87" s="609" t="str">
        <f t="shared" si="17"/>
        <v/>
      </c>
      <c r="AG87" s="609" t="str">
        <f t="shared" si="17"/>
        <v/>
      </c>
      <c r="AH87" s="609" t="str">
        <f t="shared" si="17"/>
        <v/>
      </c>
      <c r="AI87" s="609" t="str">
        <f t="shared" si="17"/>
        <v/>
      </c>
      <c r="AJ87" s="609" t="str">
        <f t="shared" si="17"/>
        <v/>
      </c>
      <c r="AK87" s="609" t="str">
        <f t="shared" si="17"/>
        <v/>
      </c>
      <c r="AL87" s="609" t="str">
        <f t="shared" si="17"/>
        <v/>
      </c>
      <c r="AM87" s="609" t="str">
        <f t="shared" ref="I87:BG92" si="18">IF($D87=AM$6,$B87&amp;", ","")</f>
        <v/>
      </c>
      <c r="AN87" s="609" t="str">
        <f t="shared" si="18"/>
        <v/>
      </c>
      <c r="AO87" s="609" t="str">
        <f t="shared" si="18"/>
        <v/>
      </c>
      <c r="AP87" s="609" t="str">
        <f t="shared" si="18"/>
        <v/>
      </c>
      <c r="AQ87" s="609" t="str">
        <f t="shared" si="18"/>
        <v/>
      </c>
      <c r="AR87" s="609" t="str">
        <f t="shared" si="18"/>
        <v/>
      </c>
      <c r="AS87" s="609" t="str">
        <f t="shared" si="18"/>
        <v/>
      </c>
      <c r="AT87" s="609" t="str">
        <f t="shared" si="18"/>
        <v/>
      </c>
      <c r="AU87" s="609" t="str">
        <f t="shared" si="18"/>
        <v/>
      </c>
      <c r="AV87" s="609" t="str">
        <f t="shared" si="18"/>
        <v/>
      </c>
      <c r="AW87" s="609" t="str">
        <f t="shared" si="18"/>
        <v/>
      </c>
      <c r="AX87" s="609" t="str">
        <f t="shared" si="18"/>
        <v/>
      </c>
      <c r="AY87" s="609" t="str">
        <f t="shared" si="18"/>
        <v/>
      </c>
      <c r="AZ87" s="609" t="str">
        <f t="shared" si="18"/>
        <v/>
      </c>
      <c r="BA87" s="609" t="str">
        <f t="shared" si="18"/>
        <v/>
      </c>
      <c r="BB87" s="609" t="str">
        <f t="shared" si="18"/>
        <v/>
      </c>
      <c r="BC87" s="609" t="str">
        <f t="shared" si="18"/>
        <v/>
      </c>
      <c r="BD87" s="609" t="str">
        <f t="shared" si="18"/>
        <v/>
      </c>
      <c r="BE87" s="609" t="str">
        <f t="shared" si="18"/>
        <v/>
      </c>
      <c r="BF87" s="609" t="str">
        <f t="shared" si="18"/>
        <v/>
      </c>
      <c r="BG87" s="609" t="str">
        <f t="shared" si="18"/>
        <v/>
      </c>
    </row>
    <row r="88" spans="2:59" x14ac:dyDescent="0.25">
      <c r="B88" s="654">
        <v>82</v>
      </c>
      <c r="C88" s="654"/>
      <c r="D88" s="654"/>
      <c r="E88" s="655"/>
      <c r="F88" s="654"/>
      <c r="H88" s="609" t="str">
        <f t="shared" si="14"/>
        <v/>
      </c>
      <c r="I88" s="609" t="str">
        <f t="shared" si="18"/>
        <v/>
      </c>
      <c r="J88" s="609" t="str">
        <f t="shared" si="18"/>
        <v/>
      </c>
      <c r="K88" s="609" t="str">
        <f t="shared" si="18"/>
        <v/>
      </c>
      <c r="L88" s="609" t="str">
        <f t="shared" si="18"/>
        <v/>
      </c>
      <c r="M88" s="609" t="str">
        <f t="shared" si="18"/>
        <v/>
      </c>
      <c r="N88" s="609" t="str">
        <f t="shared" si="18"/>
        <v/>
      </c>
      <c r="O88" s="609" t="str">
        <f t="shared" si="18"/>
        <v/>
      </c>
      <c r="P88" s="609" t="str">
        <f t="shared" si="18"/>
        <v/>
      </c>
      <c r="Q88" s="609" t="str">
        <f t="shared" si="18"/>
        <v/>
      </c>
      <c r="R88" s="609" t="str">
        <f t="shared" si="18"/>
        <v/>
      </c>
      <c r="S88" s="609" t="str">
        <f t="shared" si="18"/>
        <v/>
      </c>
      <c r="T88" s="609" t="str">
        <f t="shared" si="18"/>
        <v/>
      </c>
      <c r="U88" s="609" t="str">
        <f t="shared" si="18"/>
        <v/>
      </c>
      <c r="V88" s="609" t="str">
        <f t="shared" si="18"/>
        <v/>
      </c>
      <c r="W88" s="609" t="str">
        <f t="shared" si="18"/>
        <v/>
      </c>
      <c r="X88" s="609" t="str">
        <f t="shared" si="18"/>
        <v/>
      </c>
      <c r="Y88" s="609" t="str">
        <f t="shared" si="18"/>
        <v/>
      </c>
      <c r="Z88" s="609" t="str">
        <f t="shared" si="18"/>
        <v/>
      </c>
      <c r="AA88" s="609" t="str">
        <f t="shared" si="18"/>
        <v/>
      </c>
      <c r="AB88" s="609" t="str">
        <f t="shared" si="18"/>
        <v/>
      </c>
      <c r="AC88" s="609" t="str">
        <f t="shared" si="18"/>
        <v/>
      </c>
      <c r="AD88" s="609" t="str">
        <f t="shared" si="18"/>
        <v/>
      </c>
      <c r="AE88" s="609" t="str">
        <f t="shared" si="18"/>
        <v/>
      </c>
      <c r="AF88" s="609" t="str">
        <f t="shared" si="18"/>
        <v/>
      </c>
      <c r="AG88" s="609" t="str">
        <f t="shared" si="18"/>
        <v/>
      </c>
      <c r="AH88" s="609" t="str">
        <f t="shared" si="18"/>
        <v/>
      </c>
      <c r="AI88" s="609" t="str">
        <f t="shared" si="18"/>
        <v/>
      </c>
      <c r="AJ88" s="609" t="str">
        <f t="shared" si="18"/>
        <v/>
      </c>
      <c r="AK88" s="609" t="str">
        <f t="shared" si="18"/>
        <v/>
      </c>
      <c r="AL88" s="609" t="str">
        <f t="shared" si="18"/>
        <v/>
      </c>
      <c r="AM88" s="609" t="str">
        <f t="shared" si="18"/>
        <v/>
      </c>
      <c r="AN88" s="609" t="str">
        <f t="shared" si="18"/>
        <v/>
      </c>
      <c r="AO88" s="609" t="str">
        <f t="shared" si="18"/>
        <v/>
      </c>
      <c r="AP88" s="609" t="str">
        <f t="shared" si="18"/>
        <v/>
      </c>
      <c r="AQ88" s="609" t="str">
        <f t="shared" si="18"/>
        <v/>
      </c>
      <c r="AR88" s="609" t="str">
        <f t="shared" si="18"/>
        <v/>
      </c>
      <c r="AS88" s="609" t="str">
        <f t="shared" si="18"/>
        <v/>
      </c>
      <c r="AT88" s="609" t="str">
        <f t="shared" si="18"/>
        <v/>
      </c>
      <c r="AU88" s="609" t="str">
        <f t="shared" si="18"/>
        <v/>
      </c>
      <c r="AV88" s="609" t="str">
        <f t="shared" si="18"/>
        <v/>
      </c>
      <c r="AW88" s="609" t="str">
        <f t="shared" si="18"/>
        <v/>
      </c>
      <c r="AX88" s="609" t="str">
        <f t="shared" si="18"/>
        <v/>
      </c>
      <c r="AY88" s="609" t="str">
        <f t="shared" si="18"/>
        <v/>
      </c>
      <c r="AZ88" s="609" t="str">
        <f t="shared" si="18"/>
        <v/>
      </c>
      <c r="BA88" s="609" t="str">
        <f t="shared" si="18"/>
        <v/>
      </c>
      <c r="BB88" s="609" t="str">
        <f t="shared" si="18"/>
        <v/>
      </c>
      <c r="BC88" s="609" t="str">
        <f t="shared" si="18"/>
        <v/>
      </c>
      <c r="BD88" s="609" t="str">
        <f t="shared" si="18"/>
        <v/>
      </c>
      <c r="BE88" s="609" t="str">
        <f t="shared" si="18"/>
        <v/>
      </c>
      <c r="BF88" s="609" t="str">
        <f t="shared" si="18"/>
        <v/>
      </c>
      <c r="BG88" s="609" t="str">
        <f t="shared" si="18"/>
        <v/>
      </c>
    </row>
    <row r="89" spans="2:59" x14ac:dyDescent="0.25">
      <c r="B89" s="654">
        <v>83</v>
      </c>
      <c r="C89" s="654"/>
      <c r="D89" s="654"/>
      <c r="E89" s="655"/>
      <c r="F89" s="654"/>
      <c r="H89" s="609" t="str">
        <f t="shared" si="14"/>
        <v/>
      </c>
      <c r="I89" s="609" t="str">
        <f t="shared" si="18"/>
        <v/>
      </c>
      <c r="J89" s="609" t="str">
        <f t="shared" si="18"/>
        <v/>
      </c>
      <c r="K89" s="609" t="str">
        <f t="shared" si="18"/>
        <v/>
      </c>
      <c r="L89" s="609" t="str">
        <f t="shared" si="18"/>
        <v/>
      </c>
      <c r="M89" s="609" t="str">
        <f t="shared" si="18"/>
        <v/>
      </c>
      <c r="N89" s="609" t="str">
        <f t="shared" si="18"/>
        <v/>
      </c>
      <c r="O89" s="609" t="str">
        <f t="shared" si="18"/>
        <v/>
      </c>
      <c r="P89" s="609" t="str">
        <f t="shared" si="18"/>
        <v/>
      </c>
      <c r="Q89" s="609" t="str">
        <f t="shared" si="18"/>
        <v/>
      </c>
      <c r="R89" s="609" t="str">
        <f t="shared" si="18"/>
        <v/>
      </c>
      <c r="S89" s="609" t="str">
        <f t="shared" si="18"/>
        <v/>
      </c>
      <c r="T89" s="609" t="str">
        <f t="shared" si="18"/>
        <v/>
      </c>
      <c r="U89" s="609" t="str">
        <f t="shared" si="18"/>
        <v/>
      </c>
      <c r="V89" s="609" t="str">
        <f t="shared" si="18"/>
        <v/>
      </c>
      <c r="W89" s="609" t="str">
        <f t="shared" si="18"/>
        <v/>
      </c>
      <c r="X89" s="609" t="str">
        <f t="shared" si="18"/>
        <v/>
      </c>
      <c r="Y89" s="609" t="str">
        <f t="shared" si="18"/>
        <v/>
      </c>
      <c r="Z89" s="609" t="str">
        <f t="shared" si="18"/>
        <v/>
      </c>
      <c r="AA89" s="609" t="str">
        <f t="shared" si="18"/>
        <v/>
      </c>
      <c r="AB89" s="609" t="str">
        <f t="shared" si="18"/>
        <v/>
      </c>
      <c r="AC89" s="609" t="str">
        <f t="shared" si="18"/>
        <v/>
      </c>
      <c r="AD89" s="609" t="str">
        <f t="shared" si="18"/>
        <v/>
      </c>
      <c r="AE89" s="609" t="str">
        <f t="shared" si="18"/>
        <v/>
      </c>
      <c r="AF89" s="609" t="str">
        <f t="shared" si="18"/>
        <v/>
      </c>
      <c r="AG89" s="609" t="str">
        <f t="shared" si="18"/>
        <v/>
      </c>
      <c r="AH89" s="609" t="str">
        <f t="shared" si="18"/>
        <v/>
      </c>
      <c r="AI89" s="609" t="str">
        <f t="shared" si="18"/>
        <v/>
      </c>
      <c r="AJ89" s="609" t="str">
        <f t="shared" si="18"/>
        <v/>
      </c>
      <c r="AK89" s="609" t="str">
        <f t="shared" si="18"/>
        <v/>
      </c>
      <c r="AL89" s="609" t="str">
        <f t="shared" si="18"/>
        <v/>
      </c>
      <c r="AM89" s="609" t="str">
        <f t="shared" si="18"/>
        <v/>
      </c>
      <c r="AN89" s="609" t="str">
        <f t="shared" si="18"/>
        <v/>
      </c>
      <c r="AO89" s="609" t="str">
        <f t="shared" si="18"/>
        <v/>
      </c>
      <c r="AP89" s="609" t="str">
        <f t="shared" si="18"/>
        <v/>
      </c>
      <c r="AQ89" s="609" t="str">
        <f t="shared" si="18"/>
        <v/>
      </c>
      <c r="AR89" s="609" t="str">
        <f t="shared" si="18"/>
        <v/>
      </c>
      <c r="AS89" s="609" t="str">
        <f t="shared" si="18"/>
        <v/>
      </c>
      <c r="AT89" s="609" t="str">
        <f t="shared" si="18"/>
        <v/>
      </c>
      <c r="AU89" s="609" t="str">
        <f t="shared" si="18"/>
        <v/>
      </c>
      <c r="AV89" s="609" t="str">
        <f t="shared" si="18"/>
        <v/>
      </c>
      <c r="AW89" s="609" t="str">
        <f t="shared" si="18"/>
        <v/>
      </c>
      <c r="AX89" s="609" t="str">
        <f t="shared" si="18"/>
        <v/>
      </c>
      <c r="AY89" s="609" t="str">
        <f t="shared" si="18"/>
        <v/>
      </c>
      <c r="AZ89" s="609" t="str">
        <f t="shared" si="18"/>
        <v/>
      </c>
      <c r="BA89" s="609" t="str">
        <f t="shared" si="18"/>
        <v/>
      </c>
      <c r="BB89" s="609" t="str">
        <f t="shared" si="18"/>
        <v/>
      </c>
      <c r="BC89" s="609" t="str">
        <f t="shared" si="18"/>
        <v/>
      </c>
      <c r="BD89" s="609" t="str">
        <f t="shared" si="18"/>
        <v/>
      </c>
      <c r="BE89" s="609" t="str">
        <f t="shared" si="18"/>
        <v/>
      </c>
      <c r="BF89" s="609" t="str">
        <f t="shared" si="18"/>
        <v/>
      </c>
      <c r="BG89" s="609" t="str">
        <f t="shared" si="18"/>
        <v/>
      </c>
    </row>
    <row r="90" spans="2:59" x14ac:dyDescent="0.25">
      <c r="B90" s="654">
        <v>84</v>
      </c>
      <c r="C90" s="654"/>
      <c r="D90" s="654"/>
      <c r="E90" s="655"/>
      <c r="F90" s="654"/>
      <c r="H90" s="609" t="str">
        <f t="shared" si="14"/>
        <v/>
      </c>
      <c r="I90" s="609" t="str">
        <f t="shared" si="18"/>
        <v/>
      </c>
      <c r="J90" s="609" t="str">
        <f t="shared" si="18"/>
        <v/>
      </c>
      <c r="K90" s="609" t="str">
        <f t="shared" si="18"/>
        <v/>
      </c>
      <c r="L90" s="609" t="str">
        <f t="shared" si="18"/>
        <v/>
      </c>
      <c r="M90" s="609" t="str">
        <f t="shared" si="18"/>
        <v/>
      </c>
      <c r="N90" s="609" t="str">
        <f t="shared" si="18"/>
        <v/>
      </c>
      <c r="O90" s="609" t="str">
        <f t="shared" si="18"/>
        <v/>
      </c>
      <c r="P90" s="609" t="str">
        <f t="shared" si="18"/>
        <v/>
      </c>
      <c r="Q90" s="609" t="str">
        <f t="shared" si="18"/>
        <v/>
      </c>
      <c r="R90" s="609" t="str">
        <f t="shared" si="18"/>
        <v/>
      </c>
      <c r="S90" s="609" t="str">
        <f t="shared" si="18"/>
        <v/>
      </c>
      <c r="T90" s="609" t="str">
        <f t="shared" si="18"/>
        <v/>
      </c>
      <c r="U90" s="609" t="str">
        <f t="shared" si="18"/>
        <v/>
      </c>
      <c r="V90" s="609" t="str">
        <f t="shared" si="18"/>
        <v/>
      </c>
      <c r="W90" s="609" t="str">
        <f t="shared" si="18"/>
        <v/>
      </c>
      <c r="X90" s="609" t="str">
        <f t="shared" si="18"/>
        <v/>
      </c>
      <c r="Y90" s="609" t="str">
        <f t="shared" si="18"/>
        <v/>
      </c>
      <c r="Z90" s="609" t="str">
        <f t="shared" si="18"/>
        <v/>
      </c>
      <c r="AA90" s="609" t="str">
        <f t="shared" si="18"/>
        <v/>
      </c>
      <c r="AB90" s="609" t="str">
        <f t="shared" si="18"/>
        <v/>
      </c>
      <c r="AC90" s="609" t="str">
        <f t="shared" si="18"/>
        <v/>
      </c>
      <c r="AD90" s="609" t="str">
        <f t="shared" si="18"/>
        <v/>
      </c>
      <c r="AE90" s="609" t="str">
        <f t="shared" si="18"/>
        <v/>
      </c>
      <c r="AF90" s="609" t="str">
        <f t="shared" si="18"/>
        <v/>
      </c>
      <c r="AG90" s="609" t="str">
        <f t="shared" si="18"/>
        <v/>
      </c>
      <c r="AH90" s="609" t="str">
        <f t="shared" si="18"/>
        <v/>
      </c>
      <c r="AI90" s="609" t="str">
        <f t="shared" si="18"/>
        <v/>
      </c>
      <c r="AJ90" s="609" t="str">
        <f t="shared" si="18"/>
        <v/>
      </c>
      <c r="AK90" s="609" t="str">
        <f t="shared" si="18"/>
        <v/>
      </c>
      <c r="AL90" s="609" t="str">
        <f t="shared" si="18"/>
        <v/>
      </c>
      <c r="AM90" s="609" t="str">
        <f t="shared" si="18"/>
        <v/>
      </c>
      <c r="AN90" s="609" t="str">
        <f t="shared" si="18"/>
        <v/>
      </c>
      <c r="AO90" s="609" t="str">
        <f t="shared" si="18"/>
        <v/>
      </c>
      <c r="AP90" s="609" t="str">
        <f t="shared" si="18"/>
        <v/>
      </c>
      <c r="AQ90" s="609" t="str">
        <f t="shared" si="18"/>
        <v/>
      </c>
      <c r="AR90" s="609" t="str">
        <f t="shared" si="18"/>
        <v/>
      </c>
      <c r="AS90" s="609" t="str">
        <f t="shared" si="18"/>
        <v/>
      </c>
      <c r="AT90" s="609" t="str">
        <f t="shared" si="18"/>
        <v/>
      </c>
      <c r="AU90" s="609" t="str">
        <f t="shared" si="18"/>
        <v/>
      </c>
      <c r="AV90" s="609" t="str">
        <f t="shared" si="18"/>
        <v/>
      </c>
      <c r="AW90" s="609" t="str">
        <f t="shared" si="18"/>
        <v/>
      </c>
      <c r="AX90" s="609" t="str">
        <f t="shared" si="18"/>
        <v/>
      </c>
      <c r="AY90" s="609" t="str">
        <f t="shared" si="18"/>
        <v/>
      </c>
      <c r="AZ90" s="609" t="str">
        <f t="shared" si="18"/>
        <v/>
      </c>
      <c r="BA90" s="609" t="str">
        <f t="shared" si="18"/>
        <v/>
      </c>
      <c r="BB90" s="609" t="str">
        <f t="shared" si="18"/>
        <v/>
      </c>
      <c r="BC90" s="609" t="str">
        <f t="shared" si="18"/>
        <v/>
      </c>
      <c r="BD90" s="609" t="str">
        <f t="shared" si="18"/>
        <v/>
      </c>
      <c r="BE90" s="609" t="str">
        <f t="shared" si="18"/>
        <v/>
      </c>
      <c r="BF90" s="609" t="str">
        <f t="shared" si="18"/>
        <v/>
      </c>
      <c r="BG90" s="609" t="str">
        <f t="shared" si="18"/>
        <v/>
      </c>
    </row>
    <row r="91" spans="2:59" x14ac:dyDescent="0.25">
      <c r="B91" s="654">
        <v>85</v>
      </c>
      <c r="C91" s="654"/>
      <c r="D91" s="654"/>
      <c r="E91" s="655"/>
      <c r="F91" s="654"/>
      <c r="H91" s="609" t="str">
        <f t="shared" si="14"/>
        <v/>
      </c>
      <c r="I91" s="609" t="str">
        <f t="shared" si="18"/>
        <v/>
      </c>
      <c r="J91" s="609" t="str">
        <f t="shared" si="18"/>
        <v/>
      </c>
      <c r="K91" s="609" t="str">
        <f t="shared" si="18"/>
        <v/>
      </c>
      <c r="L91" s="609" t="str">
        <f t="shared" si="18"/>
        <v/>
      </c>
      <c r="M91" s="609" t="str">
        <f t="shared" si="18"/>
        <v/>
      </c>
      <c r="N91" s="609" t="str">
        <f t="shared" si="18"/>
        <v/>
      </c>
      <c r="O91" s="609" t="str">
        <f t="shared" si="18"/>
        <v/>
      </c>
      <c r="P91" s="609" t="str">
        <f t="shared" si="18"/>
        <v/>
      </c>
      <c r="Q91" s="609" t="str">
        <f t="shared" si="18"/>
        <v/>
      </c>
      <c r="R91" s="609" t="str">
        <f t="shared" si="18"/>
        <v/>
      </c>
      <c r="S91" s="609" t="str">
        <f t="shared" si="18"/>
        <v/>
      </c>
      <c r="T91" s="609" t="str">
        <f t="shared" si="18"/>
        <v/>
      </c>
      <c r="U91" s="609" t="str">
        <f t="shared" si="18"/>
        <v/>
      </c>
      <c r="V91" s="609" t="str">
        <f t="shared" si="18"/>
        <v/>
      </c>
      <c r="W91" s="609" t="str">
        <f t="shared" si="18"/>
        <v/>
      </c>
      <c r="X91" s="609" t="str">
        <f t="shared" si="18"/>
        <v/>
      </c>
      <c r="Y91" s="609" t="str">
        <f t="shared" si="18"/>
        <v/>
      </c>
      <c r="Z91" s="609" t="str">
        <f t="shared" si="18"/>
        <v/>
      </c>
      <c r="AA91" s="609" t="str">
        <f t="shared" si="18"/>
        <v/>
      </c>
      <c r="AB91" s="609" t="str">
        <f t="shared" si="18"/>
        <v/>
      </c>
      <c r="AC91" s="609" t="str">
        <f t="shared" si="18"/>
        <v/>
      </c>
      <c r="AD91" s="609" t="str">
        <f t="shared" si="18"/>
        <v/>
      </c>
      <c r="AE91" s="609" t="str">
        <f t="shared" si="18"/>
        <v/>
      </c>
      <c r="AF91" s="609" t="str">
        <f t="shared" si="18"/>
        <v/>
      </c>
      <c r="AG91" s="609" t="str">
        <f t="shared" si="18"/>
        <v/>
      </c>
      <c r="AH91" s="609" t="str">
        <f t="shared" si="18"/>
        <v/>
      </c>
      <c r="AI91" s="609" t="str">
        <f t="shared" si="18"/>
        <v/>
      </c>
      <c r="AJ91" s="609" t="str">
        <f t="shared" si="18"/>
        <v/>
      </c>
      <c r="AK91" s="609" t="str">
        <f t="shared" si="18"/>
        <v/>
      </c>
      <c r="AL91" s="609" t="str">
        <f t="shared" si="18"/>
        <v/>
      </c>
      <c r="AM91" s="609" t="str">
        <f t="shared" si="18"/>
        <v/>
      </c>
      <c r="AN91" s="609" t="str">
        <f t="shared" si="18"/>
        <v/>
      </c>
      <c r="AO91" s="609" t="str">
        <f t="shared" si="18"/>
        <v/>
      </c>
      <c r="AP91" s="609" t="str">
        <f t="shared" si="18"/>
        <v/>
      </c>
      <c r="AQ91" s="609" t="str">
        <f t="shared" si="18"/>
        <v/>
      </c>
      <c r="AR91" s="609" t="str">
        <f t="shared" si="18"/>
        <v/>
      </c>
      <c r="AS91" s="609" t="str">
        <f t="shared" si="18"/>
        <v/>
      </c>
      <c r="AT91" s="609" t="str">
        <f t="shared" si="18"/>
        <v/>
      </c>
      <c r="AU91" s="609" t="str">
        <f t="shared" si="18"/>
        <v/>
      </c>
      <c r="AV91" s="609" t="str">
        <f t="shared" si="18"/>
        <v/>
      </c>
      <c r="AW91" s="609" t="str">
        <f t="shared" si="18"/>
        <v/>
      </c>
      <c r="AX91" s="609" t="str">
        <f t="shared" si="18"/>
        <v/>
      </c>
      <c r="AY91" s="609" t="str">
        <f t="shared" si="18"/>
        <v/>
      </c>
      <c r="AZ91" s="609" t="str">
        <f t="shared" si="18"/>
        <v/>
      </c>
      <c r="BA91" s="609" t="str">
        <f t="shared" si="18"/>
        <v/>
      </c>
      <c r="BB91" s="609" t="str">
        <f t="shared" si="18"/>
        <v/>
      </c>
      <c r="BC91" s="609" t="str">
        <f t="shared" si="18"/>
        <v/>
      </c>
      <c r="BD91" s="609" t="str">
        <f t="shared" si="18"/>
        <v/>
      </c>
      <c r="BE91" s="609" t="str">
        <f t="shared" si="18"/>
        <v/>
      </c>
      <c r="BF91" s="609" t="str">
        <f t="shared" si="18"/>
        <v/>
      </c>
      <c r="BG91" s="609" t="str">
        <f t="shared" si="18"/>
        <v/>
      </c>
    </row>
    <row r="92" spans="2:59" x14ac:dyDescent="0.25">
      <c r="B92" s="654">
        <v>86</v>
      </c>
      <c r="C92" s="654"/>
      <c r="D92" s="654"/>
      <c r="E92" s="655"/>
      <c r="F92" s="654"/>
      <c r="H92" s="609" t="str">
        <f t="shared" si="14"/>
        <v/>
      </c>
      <c r="I92" s="609" t="str">
        <f t="shared" si="18"/>
        <v/>
      </c>
      <c r="J92" s="609" t="str">
        <f t="shared" si="18"/>
        <v/>
      </c>
      <c r="K92" s="609" t="str">
        <f t="shared" si="18"/>
        <v/>
      </c>
      <c r="L92" s="609" t="str">
        <f t="shared" si="18"/>
        <v/>
      </c>
      <c r="M92" s="609" t="str">
        <f t="shared" si="18"/>
        <v/>
      </c>
      <c r="N92" s="609" t="str">
        <f t="shared" si="18"/>
        <v/>
      </c>
      <c r="O92" s="609" t="str">
        <f t="shared" si="18"/>
        <v/>
      </c>
      <c r="P92" s="609" t="str">
        <f t="shared" si="18"/>
        <v/>
      </c>
      <c r="Q92" s="609" t="str">
        <f t="shared" si="18"/>
        <v/>
      </c>
      <c r="R92" s="609" t="str">
        <f t="shared" si="18"/>
        <v/>
      </c>
      <c r="S92" s="609" t="str">
        <f t="shared" si="18"/>
        <v/>
      </c>
      <c r="T92" s="609" t="str">
        <f t="shared" si="18"/>
        <v/>
      </c>
      <c r="U92" s="609" t="str">
        <f t="shared" si="18"/>
        <v/>
      </c>
      <c r="V92" s="609" t="str">
        <f t="shared" si="18"/>
        <v/>
      </c>
      <c r="W92" s="609" t="str">
        <f t="shared" si="18"/>
        <v/>
      </c>
      <c r="X92" s="609" t="str">
        <f t="shared" si="18"/>
        <v/>
      </c>
      <c r="Y92" s="609" t="str">
        <f t="shared" si="18"/>
        <v/>
      </c>
      <c r="Z92" s="609" t="str">
        <f t="shared" si="18"/>
        <v/>
      </c>
      <c r="AA92" s="609" t="str">
        <f t="shared" si="18"/>
        <v/>
      </c>
      <c r="AB92" s="609" t="str">
        <f t="shared" si="18"/>
        <v/>
      </c>
      <c r="AC92" s="609" t="str">
        <f t="shared" si="18"/>
        <v/>
      </c>
      <c r="AD92" s="609" t="str">
        <f t="shared" si="18"/>
        <v/>
      </c>
      <c r="AE92" s="609" t="str">
        <f t="shared" si="18"/>
        <v/>
      </c>
      <c r="AF92" s="609" t="str">
        <f t="shared" si="18"/>
        <v/>
      </c>
      <c r="AG92" s="609" t="str">
        <f t="shared" si="18"/>
        <v/>
      </c>
      <c r="AH92" s="609" t="str">
        <f t="shared" si="18"/>
        <v/>
      </c>
      <c r="AI92" s="609" t="str">
        <f t="shared" si="18"/>
        <v/>
      </c>
      <c r="AJ92" s="609" t="str">
        <f t="shared" si="18"/>
        <v/>
      </c>
      <c r="AK92" s="609" t="str">
        <f t="shared" si="18"/>
        <v/>
      </c>
      <c r="AL92" s="609" t="str">
        <f t="shared" si="18"/>
        <v/>
      </c>
      <c r="AM92" s="609" t="str">
        <f t="shared" ref="I92:BG97" si="19">IF($D92=AM$6,$B92&amp;", ","")</f>
        <v/>
      </c>
      <c r="AN92" s="609" t="str">
        <f t="shared" si="19"/>
        <v/>
      </c>
      <c r="AO92" s="609" t="str">
        <f t="shared" si="19"/>
        <v/>
      </c>
      <c r="AP92" s="609" t="str">
        <f t="shared" si="19"/>
        <v/>
      </c>
      <c r="AQ92" s="609" t="str">
        <f t="shared" si="19"/>
        <v/>
      </c>
      <c r="AR92" s="609" t="str">
        <f t="shared" si="19"/>
        <v/>
      </c>
      <c r="AS92" s="609" t="str">
        <f t="shared" si="19"/>
        <v/>
      </c>
      <c r="AT92" s="609" t="str">
        <f t="shared" si="19"/>
        <v/>
      </c>
      <c r="AU92" s="609" t="str">
        <f t="shared" si="19"/>
        <v/>
      </c>
      <c r="AV92" s="609" t="str">
        <f t="shared" si="19"/>
        <v/>
      </c>
      <c r="AW92" s="609" t="str">
        <f t="shared" si="19"/>
        <v/>
      </c>
      <c r="AX92" s="609" t="str">
        <f t="shared" si="19"/>
        <v/>
      </c>
      <c r="AY92" s="609" t="str">
        <f t="shared" si="19"/>
        <v/>
      </c>
      <c r="AZ92" s="609" t="str">
        <f t="shared" si="19"/>
        <v/>
      </c>
      <c r="BA92" s="609" t="str">
        <f t="shared" si="19"/>
        <v/>
      </c>
      <c r="BB92" s="609" t="str">
        <f t="shared" si="19"/>
        <v/>
      </c>
      <c r="BC92" s="609" t="str">
        <f t="shared" si="19"/>
        <v/>
      </c>
      <c r="BD92" s="609" t="str">
        <f t="shared" si="19"/>
        <v/>
      </c>
      <c r="BE92" s="609" t="str">
        <f t="shared" si="19"/>
        <v/>
      </c>
      <c r="BF92" s="609" t="str">
        <f t="shared" si="19"/>
        <v/>
      </c>
      <c r="BG92" s="609" t="str">
        <f t="shared" si="19"/>
        <v/>
      </c>
    </row>
    <row r="93" spans="2:59" x14ac:dyDescent="0.25">
      <c r="B93" s="654">
        <v>87</v>
      </c>
      <c r="C93" s="654"/>
      <c r="D93" s="654"/>
      <c r="E93" s="655"/>
      <c r="F93" s="654"/>
      <c r="H93" s="609" t="str">
        <f t="shared" si="14"/>
        <v/>
      </c>
      <c r="I93" s="609" t="str">
        <f t="shared" si="19"/>
        <v/>
      </c>
      <c r="J93" s="609" t="str">
        <f t="shared" si="19"/>
        <v/>
      </c>
      <c r="K93" s="609" t="str">
        <f t="shared" si="19"/>
        <v/>
      </c>
      <c r="L93" s="609" t="str">
        <f t="shared" si="19"/>
        <v/>
      </c>
      <c r="M93" s="609" t="str">
        <f t="shared" si="19"/>
        <v/>
      </c>
      <c r="N93" s="609" t="str">
        <f t="shared" si="19"/>
        <v/>
      </c>
      <c r="O93" s="609" t="str">
        <f t="shared" si="19"/>
        <v/>
      </c>
      <c r="P93" s="609" t="str">
        <f t="shared" si="19"/>
        <v/>
      </c>
      <c r="Q93" s="609" t="str">
        <f t="shared" si="19"/>
        <v/>
      </c>
      <c r="R93" s="609" t="str">
        <f t="shared" si="19"/>
        <v/>
      </c>
      <c r="S93" s="609" t="str">
        <f t="shared" si="19"/>
        <v/>
      </c>
      <c r="T93" s="609" t="str">
        <f t="shared" si="19"/>
        <v/>
      </c>
      <c r="U93" s="609" t="str">
        <f t="shared" si="19"/>
        <v/>
      </c>
      <c r="V93" s="609" t="str">
        <f t="shared" si="19"/>
        <v/>
      </c>
      <c r="W93" s="609" t="str">
        <f t="shared" si="19"/>
        <v/>
      </c>
      <c r="X93" s="609" t="str">
        <f t="shared" si="19"/>
        <v/>
      </c>
      <c r="Y93" s="609" t="str">
        <f t="shared" si="19"/>
        <v/>
      </c>
      <c r="Z93" s="609" t="str">
        <f t="shared" si="19"/>
        <v/>
      </c>
      <c r="AA93" s="609" t="str">
        <f t="shared" si="19"/>
        <v/>
      </c>
      <c r="AB93" s="609" t="str">
        <f t="shared" si="19"/>
        <v/>
      </c>
      <c r="AC93" s="609" t="str">
        <f t="shared" si="19"/>
        <v/>
      </c>
      <c r="AD93" s="609" t="str">
        <f t="shared" si="19"/>
        <v/>
      </c>
      <c r="AE93" s="609" t="str">
        <f t="shared" si="19"/>
        <v/>
      </c>
      <c r="AF93" s="609" t="str">
        <f t="shared" si="19"/>
        <v/>
      </c>
      <c r="AG93" s="609" t="str">
        <f t="shared" si="19"/>
        <v/>
      </c>
      <c r="AH93" s="609" t="str">
        <f t="shared" si="19"/>
        <v/>
      </c>
      <c r="AI93" s="609" t="str">
        <f t="shared" si="19"/>
        <v/>
      </c>
      <c r="AJ93" s="609" t="str">
        <f t="shared" si="19"/>
        <v/>
      </c>
      <c r="AK93" s="609" t="str">
        <f t="shared" si="19"/>
        <v/>
      </c>
      <c r="AL93" s="609" t="str">
        <f t="shared" si="19"/>
        <v/>
      </c>
      <c r="AM93" s="609" t="str">
        <f t="shared" si="19"/>
        <v/>
      </c>
      <c r="AN93" s="609" t="str">
        <f t="shared" si="19"/>
        <v/>
      </c>
      <c r="AO93" s="609" t="str">
        <f t="shared" si="19"/>
        <v/>
      </c>
      <c r="AP93" s="609" t="str">
        <f t="shared" si="19"/>
        <v/>
      </c>
      <c r="AQ93" s="609" t="str">
        <f t="shared" si="19"/>
        <v/>
      </c>
      <c r="AR93" s="609" t="str">
        <f t="shared" si="19"/>
        <v/>
      </c>
      <c r="AS93" s="609" t="str">
        <f t="shared" si="19"/>
        <v/>
      </c>
      <c r="AT93" s="609" t="str">
        <f t="shared" si="19"/>
        <v/>
      </c>
      <c r="AU93" s="609" t="str">
        <f t="shared" si="19"/>
        <v/>
      </c>
      <c r="AV93" s="609" t="str">
        <f t="shared" si="19"/>
        <v/>
      </c>
      <c r="AW93" s="609" t="str">
        <f t="shared" si="19"/>
        <v/>
      </c>
      <c r="AX93" s="609" t="str">
        <f t="shared" si="19"/>
        <v/>
      </c>
      <c r="AY93" s="609" t="str">
        <f t="shared" si="19"/>
        <v/>
      </c>
      <c r="AZ93" s="609" t="str">
        <f t="shared" si="19"/>
        <v/>
      </c>
      <c r="BA93" s="609" t="str">
        <f t="shared" si="19"/>
        <v/>
      </c>
      <c r="BB93" s="609" t="str">
        <f t="shared" si="19"/>
        <v/>
      </c>
      <c r="BC93" s="609" t="str">
        <f t="shared" si="19"/>
        <v/>
      </c>
      <c r="BD93" s="609" t="str">
        <f t="shared" si="19"/>
        <v/>
      </c>
      <c r="BE93" s="609" t="str">
        <f t="shared" si="19"/>
        <v/>
      </c>
      <c r="BF93" s="609" t="str">
        <f t="shared" si="19"/>
        <v/>
      </c>
      <c r="BG93" s="609" t="str">
        <f t="shared" si="19"/>
        <v/>
      </c>
    </row>
    <row r="94" spans="2:59" x14ac:dyDescent="0.25">
      <c r="B94" s="654">
        <v>88</v>
      </c>
      <c r="C94" s="654"/>
      <c r="D94" s="654"/>
      <c r="E94" s="655"/>
      <c r="F94" s="654"/>
      <c r="H94" s="609" t="str">
        <f t="shared" si="14"/>
        <v/>
      </c>
      <c r="I94" s="609" t="str">
        <f t="shared" si="19"/>
        <v/>
      </c>
      <c r="J94" s="609" t="str">
        <f t="shared" si="19"/>
        <v/>
      </c>
      <c r="K94" s="609" t="str">
        <f t="shared" si="19"/>
        <v/>
      </c>
      <c r="L94" s="609" t="str">
        <f t="shared" si="19"/>
        <v/>
      </c>
      <c r="M94" s="609" t="str">
        <f t="shared" si="19"/>
        <v/>
      </c>
      <c r="N94" s="609" t="str">
        <f t="shared" si="19"/>
        <v/>
      </c>
      <c r="O94" s="609" t="str">
        <f t="shared" si="19"/>
        <v/>
      </c>
      <c r="P94" s="609" t="str">
        <f t="shared" si="19"/>
        <v/>
      </c>
      <c r="Q94" s="609" t="str">
        <f t="shared" si="19"/>
        <v/>
      </c>
      <c r="R94" s="609" t="str">
        <f t="shared" si="19"/>
        <v/>
      </c>
      <c r="S94" s="609" t="str">
        <f t="shared" si="19"/>
        <v/>
      </c>
      <c r="T94" s="609" t="str">
        <f t="shared" si="19"/>
        <v/>
      </c>
      <c r="U94" s="609" t="str">
        <f t="shared" si="19"/>
        <v/>
      </c>
      <c r="V94" s="609" t="str">
        <f t="shared" si="19"/>
        <v/>
      </c>
      <c r="W94" s="609" t="str">
        <f t="shared" si="19"/>
        <v/>
      </c>
      <c r="X94" s="609" t="str">
        <f t="shared" si="19"/>
        <v/>
      </c>
      <c r="Y94" s="609" t="str">
        <f t="shared" si="19"/>
        <v/>
      </c>
      <c r="Z94" s="609" t="str">
        <f t="shared" si="19"/>
        <v/>
      </c>
      <c r="AA94" s="609" t="str">
        <f t="shared" si="19"/>
        <v/>
      </c>
      <c r="AB94" s="609" t="str">
        <f t="shared" si="19"/>
        <v/>
      </c>
      <c r="AC94" s="609" t="str">
        <f t="shared" si="19"/>
        <v/>
      </c>
      <c r="AD94" s="609" t="str">
        <f t="shared" si="19"/>
        <v/>
      </c>
      <c r="AE94" s="609" t="str">
        <f t="shared" si="19"/>
        <v/>
      </c>
      <c r="AF94" s="609" t="str">
        <f t="shared" si="19"/>
        <v/>
      </c>
      <c r="AG94" s="609" t="str">
        <f t="shared" si="19"/>
        <v/>
      </c>
      <c r="AH94" s="609" t="str">
        <f t="shared" si="19"/>
        <v/>
      </c>
      <c r="AI94" s="609" t="str">
        <f t="shared" si="19"/>
        <v/>
      </c>
      <c r="AJ94" s="609" t="str">
        <f t="shared" si="19"/>
        <v/>
      </c>
      <c r="AK94" s="609" t="str">
        <f t="shared" si="19"/>
        <v/>
      </c>
      <c r="AL94" s="609" t="str">
        <f t="shared" si="19"/>
        <v/>
      </c>
      <c r="AM94" s="609" t="str">
        <f t="shared" si="19"/>
        <v/>
      </c>
      <c r="AN94" s="609" t="str">
        <f t="shared" si="19"/>
        <v/>
      </c>
      <c r="AO94" s="609" t="str">
        <f t="shared" si="19"/>
        <v/>
      </c>
      <c r="AP94" s="609" t="str">
        <f t="shared" si="19"/>
        <v/>
      </c>
      <c r="AQ94" s="609" t="str">
        <f t="shared" si="19"/>
        <v/>
      </c>
      <c r="AR94" s="609" t="str">
        <f t="shared" si="19"/>
        <v/>
      </c>
      <c r="AS94" s="609" t="str">
        <f t="shared" si="19"/>
        <v/>
      </c>
      <c r="AT94" s="609" t="str">
        <f t="shared" si="19"/>
        <v/>
      </c>
      <c r="AU94" s="609" t="str">
        <f t="shared" si="19"/>
        <v/>
      </c>
      <c r="AV94" s="609" t="str">
        <f t="shared" si="19"/>
        <v/>
      </c>
      <c r="AW94" s="609" t="str">
        <f t="shared" si="19"/>
        <v/>
      </c>
      <c r="AX94" s="609" t="str">
        <f t="shared" si="19"/>
        <v/>
      </c>
      <c r="AY94" s="609" t="str">
        <f t="shared" si="19"/>
        <v/>
      </c>
      <c r="AZ94" s="609" t="str">
        <f t="shared" si="19"/>
        <v/>
      </c>
      <c r="BA94" s="609" t="str">
        <f t="shared" si="19"/>
        <v/>
      </c>
      <c r="BB94" s="609" t="str">
        <f t="shared" si="19"/>
        <v/>
      </c>
      <c r="BC94" s="609" t="str">
        <f t="shared" si="19"/>
        <v/>
      </c>
      <c r="BD94" s="609" t="str">
        <f t="shared" si="19"/>
        <v/>
      </c>
      <c r="BE94" s="609" t="str">
        <f t="shared" si="19"/>
        <v/>
      </c>
      <c r="BF94" s="609" t="str">
        <f t="shared" si="19"/>
        <v/>
      </c>
      <c r="BG94" s="609" t="str">
        <f t="shared" si="19"/>
        <v/>
      </c>
    </row>
    <row r="95" spans="2:59" x14ac:dyDescent="0.25">
      <c r="B95" s="654">
        <v>89</v>
      </c>
      <c r="C95" s="654"/>
      <c r="D95" s="654"/>
      <c r="E95" s="655"/>
      <c r="F95" s="654"/>
      <c r="H95" s="609" t="str">
        <f t="shared" si="14"/>
        <v/>
      </c>
      <c r="I95" s="609" t="str">
        <f t="shared" si="19"/>
        <v/>
      </c>
      <c r="J95" s="609" t="str">
        <f t="shared" si="19"/>
        <v/>
      </c>
      <c r="K95" s="609" t="str">
        <f t="shared" si="19"/>
        <v/>
      </c>
      <c r="L95" s="609" t="str">
        <f t="shared" si="19"/>
        <v/>
      </c>
      <c r="M95" s="609" t="str">
        <f t="shared" si="19"/>
        <v/>
      </c>
      <c r="N95" s="609" t="str">
        <f t="shared" si="19"/>
        <v/>
      </c>
      <c r="O95" s="609" t="str">
        <f t="shared" si="19"/>
        <v/>
      </c>
      <c r="P95" s="609" t="str">
        <f t="shared" si="19"/>
        <v/>
      </c>
      <c r="Q95" s="609" t="str">
        <f t="shared" si="19"/>
        <v/>
      </c>
      <c r="R95" s="609" t="str">
        <f t="shared" si="19"/>
        <v/>
      </c>
      <c r="S95" s="609" t="str">
        <f t="shared" si="19"/>
        <v/>
      </c>
      <c r="T95" s="609" t="str">
        <f t="shared" si="19"/>
        <v/>
      </c>
      <c r="U95" s="609" t="str">
        <f t="shared" si="19"/>
        <v/>
      </c>
      <c r="V95" s="609" t="str">
        <f t="shared" si="19"/>
        <v/>
      </c>
      <c r="W95" s="609" t="str">
        <f t="shared" si="19"/>
        <v/>
      </c>
      <c r="X95" s="609" t="str">
        <f t="shared" si="19"/>
        <v/>
      </c>
      <c r="Y95" s="609" t="str">
        <f t="shared" si="19"/>
        <v/>
      </c>
      <c r="Z95" s="609" t="str">
        <f t="shared" si="19"/>
        <v/>
      </c>
      <c r="AA95" s="609" t="str">
        <f t="shared" si="19"/>
        <v/>
      </c>
      <c r="AB95" s="609" t="str">
        <f t="shared" si="19"/>
        <v/>
      </c>
      <c r="AC95" s="609" t="str">
        <f t="shared" si="19"/>
        <v/>
      </c>
      <c r="AD95" s="609" t="str">
        <f t="shared" si="19"/>
        <v/>
      </c>
      <c r="AE95" s="609" t="str">
        <f t="shared" si="19"/>
        <v/>
      </c>
      <c r="AF95" s="609" t="str">
        <f t="shared" si="19"/>
        <v/>
      </c>
      <c r="AG95" s="609" t="str">
        <f t="shared" si="19"/>
        <v/>
      </c>
      <c r="AH95" s="609" t="str">
        <f t="shared" si="19"/>
        <v/>
      </c>
      <c r="AI95" s="609" t="str">
        <f t="shared" si="19"/>
        <v/>
      </c>
      <c r="AJ95" s="609" t="str">
        <f t="shared" si="19"/>
        <v/>
      </c>
      <c r="AK95" s="609" t="str">
        <f t="shared" si="19"/>
        <v/>
      </c>
      <c r="AL95" s="609" t="str">
        <f t="shared" si="19"/>
        <v/>
      </c>
      <c r="AM95" s="609" t="str">
        <f t="shared" si="19"/>
        <v/>
      </c>
      <c r="AN95" s="609" t="str">
        <f t="shared" si="19"/>
        <v/>
      </c>
      <c r="AO95" s="609" t="str">
        <f t="shared" si="19"/>
        <v/>
      </c>
      <c r="AP95" s="609" t="str">
        <f t="shared" si="19"/>
        <v/>
      </c>
      <c r="AQ95" s="609" t="str">
        <f t="shared" si="19"/>
        <v/>
      </c>
      <c r="AR95" s="609" t="str">
        <f t="shared" si="19"/>
        <v/>
      </c>
      <c r="AS95" s="609" t="str">
        <f t="shared" si="19"/>
        <v/>
      </c>
      <c r="AT95" s="609" t="str">
        <f t="shared" si="19"/>
        <v/>
      </c>
      <c r="AU95" s="609" t="str">
        <f t="shared" si="19"/>
        <v/>
      </c>
      <c r="AV95" s="609" t="str">
        <f t="shared" si="19"/>
        <v/>
      </c>
      <c r="AW95" s="609" t="str">
        <f t="shared" si="19"/>
        <v/>
      </c>
      <c r="AX95" s="609" t="str">
        <f t="shared" si="19"/>
        <v/>
      </c>
      <c r="AY95" s="609" t="str">
        <f t="shared" si="19"/>
        <v/>
      </c>
      <c r="AZ95" s="609" t="str">
        <f t="shared" si="19"/>
        <v/>
      </c>
      <c r="BA95" s="609" t="str">
        <f t="shared" si="19"/>
        <v/>
      </c>
      <c r="BB95" s="609" t="str">
        <f t="shared" si="19"/>
        <v/>
      </c>
      <c r="BC95" s="609" t="str">
        <f t="shared" si="19"/>
        <v/>
      </c>
      <c r="BD95" s="609" t="str">
        <f t="shared" si="19"/>
        <v/>
      </c>
      <c r="BE95" s="609" t="str">
        <f t="shared" si="19"/>
        <v/>
      </c>
      <c r="BF95" s="609" t="str">
        <f t="shared" si="19"/>
        <v/>
      </c>
      <c r="BG95" s="609" t="str">
        <f t="shared" si="19"/>
        <v/>
      </c>
    </row>
    <row r="96" spans="2:59" x14ac:dyDescent="0.25">
      <c r="B96" s="654">
        <v>90</v>
      </c>
      <c r="C96" s="654"/>
      <c r="D96" s="654"/>
      <c r="E96" s="655"/>
      <c r="F96" s="654"/>
      <c r="H96" s="609" t="str">
        <f t="shared" si="14"/>
        <v/>
      </c>
      <c r="I96" s="609" t="str">
        <f t="shared" si="19"/>
        <v/>
      </c>
      <c r="J96" s="609" t="str">
        <f t="shared" si="19"/>
        <v/>
      </c>
      <c r="K96" s="609" t="str">
        <f t="shared" si="19"/>
        <v/>
      </c>
      <c r="L96" s="609" t="str">
        <f t="shared" si="19"/>
        <v/>
      </c>
      <c r="M96" s="609" t="str">
        <f t="shared" si="19"/>
        <v/>
      </c>
      <c r="N96" s="609" t="str">
        <f t="shared" si="19"/>
        <v/>
      </c>
      <c r="O96" s="609" t="str">
        <f t="shared" si="19"/>
        <v/>
      </c>
      <c r="P96" s="609" t="str">
        <f t="shared" si="19"/>
        <v/>
      </c>
      <c r="Q96" s="609" t="str">
        <f t="shared" si="19"/>
        <v/>
      </c>
      <c r="R96" s="609" t="str">
        <f t="shared" si="19"/>
        <v/>
      </c>
      <c r="S96" s="609" t="str">
        <f t="shared" si="19"/>
        <v/>
      </c>
      <c r="T96" s="609" t="str">
        <f t="shared" si="19"/>
        <v/>
      </c>
      <c r="U96" s="609" t="str">
        <f t="shared" si="19"/>
        <v/>
      </c>
      <c r="V96" s="609" t="str">
        <f t="shared" si="19"/>
        <v/>
      </c>
      <c r="W96" s="609" t="str">
        <f t="shared" si="19"/>
        <v/>
      </c>
      <c r="X96" s="609" t="str">
        <f t="shared" si="19"/>
        <v/>
      </c>
      <c r="Y96" s="609" t="str">
        <f t="shared" si="19"/>
        <v/>
      </c>
      <c r="Z96" s="609" t="str">
        <f t="shared" si="19"/>
        <v/>
      </c>
      <c r="AA96" s="609" t="str">
        <f t="shared" si="19"/>
        <v/>
      </c>
      <c r="AB96" s="609" t="str">
        <f t="shared" si="19"/>
        <v/>
      </c>
      <c r="AC96" s="609" t="str">
        <f t="shared" si="19"/>
        <v/>
      </c>
      <c r="AD96" s="609" t="str">
        <f t="shared" si="19"/>
        <v/>
      </c>
      <c r="AE96" s="609" t="str">
        <f t="shared" si="19"/>
        <v/>
      </c>
      <c r="AF96" s="609" t="str">
        <f t="shared" si="19"/>
        <v/>
      </c>
      <c r="AG96" s="609" t="str">
        <f t="shared" si="19"/>
        <v/>
      </c>
      <c r="AH96" s="609" t="str">
        <f t="shared" si="19"/>
        <v/>
      </c>
      <c r="AI96" s="609" t="str">
        <f t="shared" si="19"/>
        <v/>
      </c>
      <c r="AJ96" s="609" t="str">
        <f t="shared" si="19"/>
        <v/>
      </c>
      <c r="AK96" s="609" t="str">
        <f t="shared" si="19"/>
        <v/>
      </c>
      <c r="AL96" s="609" t="str">
        <f t="shared" si="19"/>
        <v/>
      </c>
      <c r="AM96" s="609" t="str">
        <f t="shared" si="19"/>
        <v/>
      </c>
      <c r="AN96" s="609" t="str">
        <f t="shared" si="19"/>
        <v/>
      </c>
      <c r="AO96" s="609" t="str">
        <f t="shared" si="19"/>
        <v/>
      </c>
      <c r="AP96" s="609" t="str">
        <f t="shared" si="19"/>
        <v/>
      </c>
      <c r="AQ96" s="609" t="str">
        <f t="shared" si="19"/>
        <v/>
      </c>
      <c r="AR96" s="609" t="str">
        <f t="shared" si="19"/>
        <v/>
      </c>
      <c r="AS96" s="609" t="str">
        <f t="shared" si="19"/>
        <v/>
      </c>
      <c r="AT96" s="609" t="str">
        <f t="shared" si="19"/>
        <v/>
      </c>
      <c r="AU96" s="609" t="str">
        <f t="shared" si="19"/>
        <v/>
      </c>
      <c r="AV96" s="609" t="str">
        <f t="shared" si="19"/>
        <v/>
      </c>
      <c r="AW96" s="609" t="str">
        <f t="shared" si="19"/>
        <v/>
      </c>
      <c r="AX96" s="609" t="str">
        <f t="shared" si="19"/>
        <v/>
      </c>
      <c r="AY96" s="609" t="str">
        <f t="shared" si="19"/>
        <v/>
      </c>
      <c r="AZ96" s="609" t="str">
        <f t="shared" si="19"/>
        <v/>
      </c>
      <c r="BA96" s="609" t="str">
        <f t="shared" si="19"/>
        <v/>
      </c>
      <c r="BB96" s="609" t="str">
        <f t="shared" si="19"/>
        <v/>
      </c>
      <c r="BC96" s="609" t="str">
        <f t="shared" si="19"/>
        <v/>
      </c>
      <c r="BD96" s="609" t="str">
        <f t="shared" si="19"/>
        <v/>
      </c>
      <c r="BE96" s="609" t="str">
        <f t="shared" si="19"/>
        <v/>
      </c>
      <c r="BF96" s="609" t="str">
        <f t="shared" si="19"/>
        <v/>
      </c>
      <c r="BG96" s="609" t="str">
        <f t="shared" si="19"/>
        <v/>
      </c>
    </row>
    <row r="97" spans="2:59" x14ac:dyDescent="0.25">
      <c r="B97" s="654">
        <v>91</v>
      </c>
      <c r="C97" s="654"/>
      <c r="D97" s="654"/>
      <c r="E97" s="655"/>
      <c r="F97" s="654"/>
      <c r="H97" s="609" t="str">
        <f t="shared" si="14"/>
        <v/>
      </c>
      <c r="I97" s="609" t="str">
        <f t="shared" si="19"/>
        <v/>
      </c>
      <c r="J97" s="609" t="str">
        <f t="shared" si="19"/>
        <v/>
      </c>
      <c r="K97" s="609" t="str">
        <f t="shared" si="19"/>
        <v/>
      </c>
      <c r="L97" s="609" t="str">
        <f t="shared" si="19"/>
        <v/>
      </c>
      <c r="M97" s="609" t="str">
        <f t="shared" si="19"/>
        <v/>
      </c>
      <c r="N97" s="609" t="str">
        <f t="shared" si="19"/>
        <v/>
      </c>
      <c r="O97" s="609" t="str">
        <f t="shared" si="19"/>
        <v/>
      </c>
      <c r="P97" s="609" t="str">
        <f t="shared" si="19"/>
        <v/>
      </c>
      <c r="Q97" s="609" t="str">
        <f t="shared" si="19"/>
        <v/>
      </c>
      <c r="R97" s="609" t="str">
        <f t="shared" si="19"/>
        <v/>
      </c>
      <c r="S97" s="609" t="str">
        <f t="shared" si="19"/>
        <v/>
      </c>
      <c r="T97" s="609" t="str">
        <f t="shared" si="19"/>
        <v/>
      </c>
      <c r="U97" s="609" t="str">
        <f t="shared" si="19"/>
        <v/>
      </c>
      <c r="V97" s="609" t="str">
        <f t="shared" si="19"/>
        <v/>
      </c>
      <c r="W97" s="609" t="str">
        <f t="shared" si="19"/>
        <v/>
      </c>
      <c r="X97" s="609" t="str">
        <f t="shared" si="19"/>
        <v/>
      </c>
      <c r="Y97" s="609" t="str">
        <f t="shared" si="19"/>
        <v/>
      </c>
      <c r="Z97" s="609" t="str">
        <f t="shared" si="19"/>
        <v/>
      </c>
      <c r="AA97" s="609" t="str">
        <f t="shared" si="19"/>
        <v/>
      </c>
      <c r="AB97" s="609" t="str">
        <f t="shared" si="19"/>
        <v/>
      </c>
      <c r="AC97" s="609" t="str">
        <f t="shared" si="19"/>
        <v/>
      </c>
      <c r="AD97" s="609" t="str">
        <f t="shared" si="19"/>
        <v/>
      </c>
      <c r="AE97" s="609" t="str">
        <f t="shared" si="19"/>
        <v/>
      </c>
      <c r="AF97" s="609" t="str">
        <f t="shared" si="19"/>
        <v/>
      </c>
      <c r="AG97" s="609" t="str">
        <f t="shared" si="19"/>
        <v/>
      </c>
      <c r="AH97" s="609" t="str">
        <f t="shared" si="19"/>
        <v/>
      </c>
      <c r="AI97" s="609" t="str">
        <f t="shared" si="19"/>
        <v/>
      </c>
      <c r="AJ97" s="609" t="str">
        <f t="shared" si="19"/>
        <v/>
      </c>
      <c r="AK97" s="609" t="str">
        <f t="shared" si="19"/>
        <v/>
      </c>
      <c r="AL97" s="609" t="str">
        <f t="shared" si="19"/>
        <v/>
      </c>
      <c r="AM97" s="609" t="str">
        <f t="shared" ref="I97:BG102" si="20">IF($D97=AM$6,$B97&amp;", ","")</f>
        <v/>
      </c>
      <c r="AN97" s="609" t="str">
        <f t="shared" si="20"/>
        <v/>
      </c>
      <c r="AO97" s="609" t="str">
        <f t="shared" si="20"/>
        <v/>
      </c>
      <c r="AP97" s="609" t="str">
        <f t="shared" si="20"/>
        <v/>
      </c>
      <c r="AQ97" s="609" t="str">
        <f t="shared" si="20"/>
        <v/>
      </c>
      <c r="AR97" s="609" t="str">
        <f t="shared" si="20"/>
        <v/>
      </c>
      <c r="AS97" s="609" t="str">
        <f t="shared" si="20"/>
        <v/>
      </c>
      <c r="AT97" s="609" t="str">
        <f t="shared" si="20"/>
        <v/>
      </c>
      <c r="AU97" s="609" t="str">
        <f t="shared" si="20"/>
        <v/>
      </c>
      <c r="AV97" s="609" t="str">
        <f t="shared" si="20"/>
        <v/>
      </c>
      <c r="AW97" s="609" t="str">
        <f t="shared" si="20"/>
        <v/>
      </c>
      <c r="AX97" s="609" t="str">
        <f t="shared" si="20"/>
        <v/>
      </c>
      <c r="AY97" s="609" t="str">
        <f t="shared" si="20"/>
        <v/>
      </c>
      <c r="AZ97" s="609" t="str">
        <f t="shared" si="20"/>
        <v/>
      </c>
      <c r="BA97" s="609" t="str">
        <f t="shared" si="20"/>
        <v/>
      </c>
      <c r="BB97" s="609" t="str">
        <f t="shared" si="20"/>
        <v/>
      </c>
      <c r="BC97" s="609" t="str">
        <f t="shared" si="20"/>
        <v/>
      </c>
      <c r="BD97" s="609" t="str">
        <f t="shared" si="20"/>
        <v/>
      </c>
      <c r="BE97" s="609" t="str">
        <f t="shared" si="20"/>
        <v/>
      </c>
      <c r="BF97" s="609" t="str">
        <f t="shared" si="20"/>
        <v/>
      </c>
      <c r="BG97" s="609" t="str">
        <f t="shared" si="20"/>
        <v/>
      </c>
    </row>
    <row r="98" spans="2:59" x14ac:dyDescent="0.25">
      <c r="B98" s="654">
        <v>92</v>
      </c>
      <c r="C98" s="654"/>
      <c r="D98" s="654"/>
      <c r="E98" s="655"/>
      <c r="F98" s="654"/>
      <c r="H98" s="609" t="str">
        <f t="shared" si="14"/>
        <v/>
      </c>
      <c r="I98" s="609" t="str">
        <f t="shared" si="20"/>
        <v/>
      </c>
      <c r="J98" s="609" t="str">
        <f t="shared" si="20"/>
        <v/>
      </c>
      <c r="K98" s="609" t="str">
        <f t="shared" si="20"/>
        <v/>
      </c>
      <c r="L98" s="609" t="str">
        <f t="shared" si="20"/>
        <v/>
      </c>
      <c r="M98" s="609" t="str">
        <f t="shared" si="20"/>
        <v/>
      </c>
      <c r="N98" s="609" t="str">
        <f t="shared" si="20"/>
        <v/>
      </c>
      <c r="O98" s="609" t="str">
        <f t="shared" si="20"/>
        <v/>
      </c>
      <c r="P98" s="609" t="str">
        <f t="shared" si="20"/>
        <v/>
      </c>
      <c r="Q98" s="609" t="str">
        <f t="shared" si="20"/>
        <v/>
      </c>
      <c r="R98" s="609" t="str">
        <f t="shared" si="20"/>
        <v/>
      </c>
      <c r="S98" s="609" t="str">
        <f t="shared" si="20"/>
        <v/>
      </c>
      <c r="T98" s="609" t="str">
        <f t="shared" si="20"/>
        <v/>
      </c>
      <c r="U98" s="609" t="str">
        <f t="shared" si="20"/>
        <v/>
      </c>
      <c r="V98" s="609" t="str">
        <f t="shared" si="20"/>
        <v/>
      </c>
      <c r="W98" s="609" t="str">
        <f t="shared" si="20"/>
        <v/>
      </c>
      <c r="X98" s="609" t="str">
        <f t="shared" si="20"/>
        <v/>
      </c>
      <c r="Y98" s="609" t="str">
        <f t="shared" si="20"/>
        <v/>
      </c>
      <c r="Z98" s="609" t="str">
        <f t="shared" si="20"/>
        <v/>
      </c>
      <c r="AA98" s="609" t="str">
        <f t="shared" si="20"/>
        <v/>
      </c>
      <c r="AB98" s="609" t="str">
        <f t="shared" si="20"/>
        <v/>
      </c>
      <c r="AC98" s="609" t="str">
        <f t="shared" si="20"/>
        <v/>
      </c>
      <c r="AD98" s="609" t="str">
        <f t="shared" si="20"/>
        <v/>
      </c>
      <c r="AE98" s="609" t="str">
        <f t="shared" si="20"/>
        <v/>
      </c>
      <c r="AF98" s="609" t="str">
        <f t="shared" si="20"/>
        <v/>
      </c>
      <c r="AG98" s="609" t="str">
        <f t="shared" si="20"/>
        <v/>
      </c>
      <c r="AH98" s="609" t="str">
        <f t="shared" si="20"/>
        <v/>
      </c>
      <c r="AI98" s="609" t="str">
        <f t="shared" si="20"/>
        <v/>
      </c>
      <c r="AJ98" s="609" t="str">
        <f t="shared" si="20"/>
        <v/>
      </c>
      <c r="AK98" s="609" t="str">
        <f t="shared" si="20"/>
        <v/>
      </c>
      <c r="AL98" s="609" t="str">
        <f t="shared" si="20"/>
        <v/>
      </c>
      <c r="AM98" s="609" t="str">
        <f t="shared" si="20"/>
        <v/>
      </c>
      <c r="AN98" s="609" t="str">
        <f t="shared" si="20"/>
        <v/>
      </c>
      <c r="AO98" s="609" t="str">
        <f t="shared" si="20"/>
        <v/>
      </c>
      <c r="AP98" s="609" t="str">
        <f t="shared" si="20"/>
        <v/>
      </c>
      <c r="AQ98" s="609" t="str">
        <f t="shared" si="20"/>
        <v/>
      </c>
      <c r="AR98" s="609" t="str">
        <f t="shared" si="20"/>
        <v/>
      </c>
      <c r="AS98" s="609" t="str">
        <f t="shared" si="20"/>
        <v/>
      </c>
      <c r="AT98" s="609" t="str">
        <f t="shared" si="20"/>
        <v/>
      </c>
      <c r="AU98" s="609" t="str">
        <f t="shared" si="20"/>
        <v/>
      </c>
      <c r="AV98" s="609" t="str">
        <f t="shared" si="20"/>
        <v/>
      </c>
      <c r="AW98" s="609" t="str">
        <f t="shared" si="20"/>
        <v/>
      </c>
      <c r="AX98" s="609" t="str">
        <f t="shared" si="20"/>
        <v/>
      </c>
      <c r="AY98" s="609" t="str">
        <f t="shared" si="20"/>
        <v/>
      </c>
      <c r="AZ98" s="609" t="str">
        <f t="shared" si="20"/>
        <v/>
      </c>
      <c r="BA98" s="609" t="str">
        <f t="shared" si="20"/>
        <v/>
      </c>
      <c r="BB98" s="609" t="str">
        <f t="shared" si="20"/>
        <v/>
      </c>
      <c r="BC98" s="609" t="str">
        <f t="shared" si="20"/>
        <v/>
      </c>
      <c r="BD98" s="609" t="str">
        <f t="shared" si="20"/>
        <v/>
      </c>
      <c r="BE98" s="609" t="str">
        <f t="shared" si="20"/>
        <v/>
      </c>
      <c r="BF98" s="609" t="str">
        <f t="shared" si="20"/>
        <v/>
      </c>
      <c r="BG98" s="609" t="str">
        <f t="shared" si="20"/>
        <v/>
      </c>
    </row>
    <row r="99" spans="2:59" x14ac:dyDescent="0.25">
      <c r="B99" s="654">
        <v>93</v>
      </c>
      <c r="C99" s="654"/>
      <c r="D99" s="654"/>
      <c r="E99" s="655"/>
      <c r="F99" s="654"/>
      <c r="H99" s="609" t="str">
        <f t="shared" si="14"/>
        <v/>
      </c>
      <c r="I99" s="609" t="str">
        <f t="shared" si="20"/>
        <v/>
      </c>
      <c r="J99" s="609" t="str">
        <f t="shared" si="20"/>
        <v/>
      </c>
      <c r="K99" s="609" t="str">
        <f t="shared" si="20"/>
        <v/>
      </c>
      <c r="L99" s="609" t="str">
        <f t="shared" si="20"/>
        <v/>
      </c>
      <c r="M99" s="609" t="str">
        <f t="shared" si="20"/>
        <v/>
      </c>
      <c r="N99" s="609" t="str">
        <f t="shared" si="20"/>
        <v/>
      </c>
      <c r="O99" s="609" t="str">
        <f t="shared" si="20"/>
        <v/>
      </c>
      <c r="P99" s="609" t="str">
        <f t="shared" si="20"/>
        <v/>
      </c>
      <c r="Q99" s="609" t="str">
        <f t="shared" si="20"/>
        <v/>
      </c>
      <c r="R99" s="609" t="str">
        <f t="shared" si="20"/>
        <v/>
      </c>
      <c r="S99" s="609" t="str">
        <f t="shared" si="20"/>
        <v/>
      </c>
      <c r="T99" s="609" t="str">
        <f t="shared" si="20"/>
        <v/>
      </c>
      <c r="U99" s="609" t="str">
        <f t="shared" si="20"/>
        <v/>
      </c>
      <c r="V99" s="609" t="str">
        <f t="shared" si="20"/>
        <v/>
      </c>
      <c r="W99" s="609" t="str">
        <f t="shared" si="20"/>
        <v/>
      </c>
      <c r="X99" s="609" t="str">
        <f t="shared" si="20"/>
        <v/>
      </c>
      <c r="Y99" s="609" t="str">
        <f t="shared" si="20"/>
        <v/>
      </c>
      <c r="Z99" s="609" t="str">
        <f t="shared" si="20"/>
        <v/>
      </c>
      <c r="AA99" s="609" t="str">
        <f t="shared" si="20"/>
        <v/>
      </c>
      <c r="AB99" s="609" t="str">
        <f t="shared" si="20"/>
        <v/>
      </c>
      <c r="AC99" s="609" t="str">
        <f t="shared" si="20"/>
        <v/>
      </c>
      <c r="AD99" s="609" t="str">
        <f t="shared" si="20"/>
        <v/>
      </c>
      <c r="AE99" s="609" t="str">
        <f t="shared" si="20"/>
        <v/>
      </c>
      <c r="AF99" s="609" t="str">
        <f t="shared" si="20"/>
        <v/>
      </c>
      <c r="AG99" s="609" t="str">
        <f t="shared" si="20"/>
        <v/>
      </c>
      <c r="AH99" s="609" t="str">
        <f t="shared" si="20"/>
        <v/>
      </c>
      <c r="AI99" s="609" t="str">
        <f t="shared" si="20"/>
        <v/>
      </c>
      <c r="AJ99" s="609" t="str">
        <f t="shared" si="20"/>
        <v/>
      </c>
      <c r="AK99" s="609" t="str">
        <f t="shared" si="20"/>
        <v/>
      </c>
      <c r="AL99" s="609" t="str">
        <f t="shared" si="20"/>
        <v/>
      </c>
      <c r="AM99" s="609" t="str">
        <f t="shared" si="20"/>
        <v/>
      </c>
      <c r="AN99" s="609" t="str">
        <f t="shared" si="20"/>
        <v/>
      </c>
      <c r="AO99" s="609" t="str">
        <f t="shared" si="20"/>
        <v/>
      </c>
      <c r="AP99" s="609" t="str">
        <f t="shared" si="20"/>
        <v/>
      </c>
      <c r="AQ99" s="609" t="str">
        <f t="shared" si="20"/>
        <v/>
      </c>
      <c r="AR99" s="609" t="str">
        <f t="shared" si="20"/>
        <v/>
      </c>
      <c r="AS99" s="609" t="str">
        <f t="shared" si="20"/>
        <v/>
      </c>
      <c r="AT99" s="609" t="str">
        <f t="shared" si="20"/>
        <v/>
      </c>
      <c r="AU99" s="609" t="str">
        <f t="shared" si="20"/>
        <v/>
      </c>
      <c r="AV99" s="609" t="str">
        <f t="shared" si="20"/>
        <v/>
      </c>
      <c r="AW99" s="609" t="str">
        <f t="shared" si="20"/>
        <v/>
      </c>
      <c r="AX99" s="609" t="str">
        <f t="shared" si="20"/>
        <v/>
      </c>
      <c r="AY99" s="609" t="str">
        <f t="shared" si="20"/>
        <v/>
      </c>
      <c r="AZ99" s="609" t="str">
        <f t="shared" si="20"/>
        <v/>
      </c>
      <c r="BA99" s="609" t="str">
        <f t="shared" si="20"/>
        <v/>
      </c>
      <c r="BB99" s="609" t="str">
        <f t="shared" si="20"/>
        <v/>
      </c>
      <c r="BC99" s="609" t="str">
        <f t="shared" si="20"/>
        <v/>
      </c>
      <c r="BD99" s="609" t="str">
        <f t="shared" si="20"/>
        <v/>
      </c>
      <c r="BE99" s="609" t="str">
        <f t="shared" si="20"/>
        <v/>
      </c>
      <c r="BF99" s="609" t="str">
        <f t="shared" si="20"/>
        <v/>
      </c>
      <c r="BG99" s="609" t="str">
        <f t="shared" si="20"/>
        <v/>
      </c>
    </row>
    <row r="100" spans="2:59" x14ac:dyDescent="0.25">
      <c r="B100" s="654">
        <v>94</v>
      </c>
      <c r="C100" s="654"/>
      <c r="D100" s="654"/>
      <c r="E100" s="655"/>
      <c r="F100" s="654"/>
      <c r="H100" s="609" t="str">
        <f t="shared" si="14"/>
        <v/>
      </c>
      <c r="I100" s="609" t="str">
        <f t="shared" si="20"/>
        <v/>
      </c>
      <c r="J100" s="609" t="str">
        <f t="shared" si="20"/>
        <v/>
      </c>
      <c r="K100" s="609" t="str">
        <f t="shared" si="20"/>
        <v/>
      </c>
      <c r="L100" s="609" t="str">
        <f t="shared" si="20"/>
        <v/>
      </c>
      <c r="M100" s="609" t="str">
        <f t="shared" si="20"/>
        <v/>
      </c>
      <c r="N100" s="609" t="str">
        <f t="shared" si="20"/>
        <v/>
      </c>
      <c r="O100" s="609" t="str">
        <f t="shared" si="20"/>
        <v/>
      </c>
      <c r="P100" s="609" t="str">
        <f t="shared" si="20"/>
        <v/>
      </c>
      <c r="Q100" s="609" t="str">
        <f t="shared" si="20"/>
        <v/>
      </c>
      <c r="R100" s="609" t="str">
        <f t="shared" si="20"/>
        <v/>
      </c>
      <c r="S100" s="609" t="str">
        <f t="shared" si="20"/>
        <v/>
      </c>
      <c r="T100" s="609" t="str">
        <f t="shared" si="20"/>
        <v/>
      </c>
      <c r="U100" s="609" t="str">
        <f t="shared" si="20"/>
        <v/>
      </c>
      <c r="V100" s="609" t="str">
        <f t="shared" si="20"/>
        <v/>
      </c>
      <c r="W100" s="609" t="str">
        <f t="shared" si="20"/>
        <v/>
      </c>
      <c r="X100" s="609" t="str">
        <f t="shared" si="20"/>
        <v/>
      </c>
      <c r="Y100" s="609" t="str">
        <f t="shared" si="20"/>
        <v/>
      </c>
      <c r="Z100" s="609" t="str">
        <f t="shared" si="20"/>
        <v/>
      </c>
      <c r="AA100" s="609" t="str">
        <f t="shared" si="20"/>
        <v/>
      </c>
      <c r="AB100" s="609" t="str">
        <f t="shared" si="20"/>
        <v/>
      </c>
      <c r="AC100" s="609" t="str">
        <f t="shared" si="20"/>
        <v/>
      </c>
      <c r="AD100" s="609" t="str">
        <f t="shared" si="20"/>
        <v/>
      </c>
      <c r="AE100" s="609" t="str">
        <f t="shared" si="20"/>
        <v/>
      </c>
      <c r="AF100" s="609" t="str">
        <f t="shared" si="20"/>
        <v/>
      </c>
      <c r="AG100" s="609" t="str">
        <f t="shared" si="20"/>
        <v/>
      </c>
      <c r="AH100" s="609" t="str">
        <f t="shared" si="20"/>
        <v/>
      </c>
      <c r="AI100" s="609" t="str">
        <f t="shared" si="20"/>
        <v/>
      </c>
      <c r="AJ100" s="609" t="str">
        <f t="shared" si="20"/>
        <v/>
      </c>
      <c r="AK100" s="609" t="str">
        <f t="shared" si="20"/>
        <v/>
      </c>
      <c r="AL100" s="609" t="str">
        <f t="shared" si="20"/>
        <v/>
      </c>
      <c r="AM100" s="609" t="str">
        <f t="shared" si="20"/>
        <v/>
      </c>
      <c r="AN100" s="609" t="str">
        <f t="shared" si="20"/>
        <v/>
      </c>
      <c r="AO100" s="609" t="str">
        <f t="shared" si="20"/>
        <v/>
      </c>
      <c r="AP100" s="609" t="str">
        <f t="shared" si="20"/>
        <v/>
      </c>
      <c r="AQ100" s="609" t="str">
        <f t="shared" si="20"/>
        <v/>
      </c>
      <c r="AR100" s="609" t="str">
        <f t="shared" si="20"/>
        <v/>
      </c>
      <c r="AS100" s="609" t="str">
        <f t="shared" si="20"/>
        <v/>
      </c>
      <c r="AT100" s="609" t="str">
        <f t="shared" si="20"/>
        <v/>
      </c>
      <c r="AU100" s="609" t="str">
        <f t="shared" si="20"/>
        <v/>
      </c>
      <c r="AV100" s="609" t="str">
        <f t="shared" si="20"/>
        <v/>
      </c>
      <c r="AW100" s="609" t="str">
        <f t="shared" si="20"/>
        <v/>
      </c>
      <c r="AX100" s="609" t="str">
        <f t="shared" si="20"/>
        <v/>
      </c>
      <c r="AY100" s="609" t="str">
        <f t="shared" si="20"/>
        <v/>
      </c>
      <c r="AZ100" s="609" t="str">
        <f t="shared" si="20"/>
        <v/>
      </c>
      <c r="BA100" s="609" t="str">
        <f t="shared" si="20"/>
        <v/>
      </c>
      <c r="BB100" s="609" t="str">
        <f t="shared" si="20"/>
        <v/>
      </c>
      <c r="BC100" s="609" t="str">
        <f t="shared" si="20"/>
        <v/>
      </c>
      <c r="BD100" s="609" t="str">
        <f t="shared" si="20"/>
        <v/>
      </c>
      <c r="BE100" s="609" t="str">
        <f t="shared" si="20"/>
        <v/>
      </c>
      <c r="BF100" s="609" t="str">
        <f t="shared" si="20"/>
        <v/>
      </c>
      <c r="BG100" s="609" t="str">
        <f t="shared" si="20"/>
        <v/>
      </c>
    </row>
    <row r="101" spans="2:59" x14ac:dyDescent="0.25">
      <c r="B101" s="654">
        <v>95</v>
      </c>
      <c r="C101" s="654"/>
      <c r="D101" s="654"/>
      <c r="E101" s="655"/>
      <c r="F101" s="654"/>
      <c r="H101" s="609" t="str">
        <f t="shared" si="14"/>
        <v/>
      </c>
      <c r="I101" s="609" t="str">
        <f t="shared" si="20"/>
        <v/>
      </c>
      <c r="J101" s="609" t="str">
        <f t="shared" si="20"/>
        <v/>
      </c>
      <c r="K101" s="609" t="str">
        <f t="shared" si="20"/>
        <v/>
      </c>
      <c r="L101" s="609" t="str">
        <f t="shared" si="20"/>
        <v/>
      </c>
      <c r="M101" s="609" t="str">
        <f t="shared" si="20"/>
        <v/>
      </c>
      <c r="N101" s="609" t="str">
        <f t="shared" si="20"/>
        <v/>
      </c>
      <c r="O101" s="609" t="str">
        <f t="shared" si="20"/>
        <v/>
      </c>
      <c r="P101" s="609" t="str">
        <f t="shared" si="20"/>
        <v/>
      </c>
      <c r="Q101" s="609" t="str">
        <f t="shared" si="20"/>
        <v/>
      </c>
      <c r="R101" s="609" t="str">
        <f t="shared" si="20"/>
        <v/>
      </c>
      <c r="S101" s="609" t="str">
        <f t="shared" si="20"/>
        <v/>
      </c>
      <c r="T101" s="609" t="str">
        <f t="shared" si="20"/>
        <v/>
      </c>
      <c r="U101" s="609" t="str">
        <f t="shared" si="20"/>
        <v/>
      </c>
      <c r="V101" s="609" t="str">
        <f t="shared" si="20"/>
        <v/>
      </c>
      <c r="W101" s="609" t="str">
        <f t="shared" si="20"/>
        <v/>
      </c>
      <c r="X101" s="609" t="str">
        <f t="shared" si="20"/>
        <v/>
      </c>
      <c r="Y101" s="609" t="str">
        <f t="shared" si="20"/>
        <v/>
      </c>
      <c r="Z101" s="609" t="str">
        <f t="shared" si="20"/>
        <v/>
      </c>
      <c r="AA101" s="609" t="str">
        <f t="shared" si="20"/>
        <v/>
      </c>
      <c r="AB101" s="609" t="str">
        <f t="shared" si="20"/>
        <v/>
      </c>
      <c r="AC101" s="609" t="str">
        <f t="shared" si="20"/>
        <v/>
      </c>
      <c r="AD101" s="609" t="str">
        <f t="shared" si="20"/>
        <v/>
      </c>
      <c r="AE101" s="609" t="str">
        <f t="shared" si="20"/>
        <v/>
      </c>
      <c r="AF101" s="609" t="str">
        <f t="shared" si="20"/>
        <v/>
      </c>
      <c r="AG101" s="609" t="str">
        <f t="shared" si="20"/>
        <v/>
      </c>
      <c r="AH101" s="609" t="str">
        <f t="shared" si="20"/>
        <v/>
      </c>
      <c r="AI101" s="609" t="str">
        <f t="shared" si="20"/>
        <v/>
      </c>
      <c r="AJ101" s="609" t="str">
        <f t="shared" si="20"/>
        <v/>
      </c>
      <c r="AK101" s="609" t="str">
        <f t="shared" si="20"/>
        <v/>
      </c>
      <c r="AL101" s="609" t="str">
        <f t="shared" si="20"/>
        <v/>
      </c>
      <c r="AM101" s="609" t="str">
        <f t="shared" si="20"/>
        <v/>
      </c>
      <c r="AN101" s="609" t="str">
        <f t="shared" si="20"/>
        <v/>
      </c>
      <c r="AO101" s="609" t="str">
        <f t="shared" si="20"/>
        <v/>
      </c>
      <c r="AP101" s="609" t="str">
        <f t="shared" si="20"/>
        <v/>
      </c>
      <c r="AQ101" s="609" t="str">
        <f t="shared" si="20"/>
        <v/>
      </c>
      <c r="AR101" s="609" t="str">
        <f t="shared" si="20"/>
        <v/>
      </c>
      <c r="AS101" s="609" t="str">
        <f t="shared" si="20"/>
        <v/>
      </c>
      <c r="AT101" s="609" t="str">
        <f t="shared" si="20"/>
        <v/>
      </c>
      <c r="AU101" s="609" t="str">
        <f t="shared" si="20"/>
        <v/>
      </c>
      <c r="AV101" s="609" t="str">
        <f t="shared" si="20"/>
        <v/>
      </c>
      <c r="AW101" s="609" t="str">
        <f t="shared" si="20"/>
        <v/>
      </c>
      <c r="AX101" s="609" t="str">
        <f t="shared" si="20"/>
        <v/>
      </c>
      <c r="AY101" s="609" t="str">
        <f t="shared" si="20"/>
        <v/>
      </c>
      <c r="AZ101" s="609" t="str">
        <f t="shared" si="20"/>
        <v/>
      </c>
      <c r="BA101" s="609" t="str">
        <f t="shared" si="20"/>
        <v/>
      </c>
      <c r="BB101" s="609" t="str">
        <f t="shared" si="20"/>
        <v/>
      </c>
      <c r="BC101" s="609" t="str">
        <f t="shared" si="20"/>
        <v/>
      </c>
      <c r="BD101" s="609" t="str">
        <f t="shared" si="20"/>
        <v/>
      </c>
      <c r="BE101" s="609" t="str">
        <f t="shared" si="20"/>
        <v/>
      </c>
      <c r="BF101" s="609" t="str">
        <f t="shared" si="20"/>
        <v/>
      </c>
      <c r="BG101" s="609" t="str">
        <f t="shared" si="20"/>
        <v/>
      </c>
    </row>
    <row r="102" spans="2:59" x14ac:dyDescent="0.25">
      <c r="B102" s="654">
        <v>96</v>
      </c>
      <c r="C102" s="654"/>
      <c r="D102" s="654"/>
      <c r="E102" s="655"/>
      <c r="F102" s="654"/>
      <c r="H102" s="609" t="str">
        <f t="shared" si="14"/>
        <v/>
      </c>
      <c r="I102" s="609" t="str">
        <f t="shared" si="20"/>
        <v/>
      </c>
      <c r="J102" s="609" t="str">
        <f t="shared" si="20"/>
        <v/>
      </c>
      <c r="K102" s="609" t="str">
        <f t="shared" si="20"/>
        <v/>
      </c>
      <c r="L102" s="609" t="str">
        <f t="shared" si="20"/>
        <v/>
      </c>
      <c r="M102" s="609" t="str">
        <f t="shared" si="20"/>
        <v/>
      </c>
      <c r="N102" s="609" t="str">
        <f t="shared" si="20"/>
        <v/>
      </c>
      <c r="O102" s="609" t="str">
        <f t="shared" si="20"/>
        <v/>
      </c>
      <c r="P102" s="609" t="str">
        <f t="shared" si="20"/>
        <v/>
      </c>
      <c r="Q102" s="609" t="str">
        <f t="shared" si="20"/>
        <v/>
      </c>
      <c r="R102" s="609" t="str">
        <f t="shared" si="20"/>
        <v/>
      </c>
      <c r="S102" s="609" t="str">
        <f t="shared" si="20"/>
        <v/>
      </c>
      <c r="T102" s="609" t="str">
        <f t="shared" si="20"/>
        <v/>
      </c>
      <c r="U102" s="609" t="str">
        <f t="shared" si="20"/>
        <v/>
      </c>
      <c r="V102" s="609" t="str">
        <f t="shared" si="20"/>
        <v/>
      </c>
      <c r="W102" s="609" t="str">
        <f t="shared" si="20"/>
        <v/>
      </c>
      <c r="X102" s="609" t="str">
        <f t="shared" si="20"/>
        <v/>
      </c>
      <c r="Y102" s="609" t="str">
        <f t="shared" si="20"/>
        <v/>
      </c>
      <c r="Z102" s="609" t="str">
        <f t="shared" si="20"/>
        <v/>
      </c>
      <c r="AA102" s="609" t="str">
        <f t="shared" si="20"/>
        <v/>
      </c>
      <c r="AB102" s="609" t="str">
        <f t="shared" si="20"/>
        <v/>
      </c>
      <c r="AC102" s="609" t="str">
        <f t="shared" si="20"/>
        <v/>
      </c>
      <c r="AD102" s="609" t="str">
        <f t="shared" si="20"/>
        <v/>
      </c>
      <c r="AE102" s="609" t="str">
        <f t="shared" si="20"/>
        <v/>
      </c>
      <c r="AF102" s="609" t="str">
        <f t="shared" si="20"/>
        <v/>
      </c>
      <c r="AG102" s="609" t="str">
        <f t="shared" si="20"/>
        <v/>
      </c>
      <c r="AH102" s="609" t="str">
        <f t="shared" si="20"/>
        <v/>
      </c>
      <c r="AI102" s="609" t="str">
        <f t="shared" si="20"/>
        <v/>
      </c>
      <c r="AJ102" s="609" t="str">
        <f t="shared" si="20"/>
        <v/>
      </c>
      <c r="AK102" s="609" t="str">
        <f t="shared" si="20"/>
        <v/>
      </c>
      <c r="AL102" s="609" t="str">
        <f t="shared" si="20"/>
        <v/>
      </c>
      <c r="AM102" s="609" t="str">
        <f t="shared" ref="I102:BG107" si="21">IF($D102=AM$6,$B102&amp;", ","")</f>
        <v/>
      </c>
      <c r="AN102" s="609" t="str">
        <f t="shared" si="21"/>
        <v/>
      </c>
      <c r="AO102" s="609" t="str">
        <f t="shared" si="21"/>
        <v/>
      </c>
      <c r="AP102" s="609" t="str">
        <f t="shared" si="21"/>
        <v/>
      </c>
      <c r="AQ102" s="609" t="str">
        <f t="shared" si="21"/>
        <v/>
      </c>
      <c r="AR102" s="609" t="str">
        <f t="shared" si="21"/>
        <v/>
      </c>
      <c r="AS102" s="609" t="str">
        <f t="shared" si="21"/>
        <v/>
      </c>
      <c r="AT102" s="609" t="str">
        <f t="shared" si="21"/>
        <v/>
      </c>
      <c r="AU102" s="609" t="str">
        <f t="shared" si="21"/>
        <v/>
      </c>
      <c r="AV102" s="609" t="str">
        <f t="shared" si="21"/>
        <v/>
      </c>
      <c r="AW102" s="609" t="str">
        <f t="shared" si="21"/>
        <v/>
      </c>
      <c r="AX102" s="609" t="str">
        <f t="shared" si="21"/>
        <v/>
      </c>
      <c r="AY102" s="609" t="str">
        <f t="shared" si="21"/>
        <v/>
      </c>
      <c r="AZ102" s="609" t="str">
        <f t="shared" si="21"/>
        <v/>
      </c>
      <c r="BA102" s="609" t="str">
        <f t="shared" si="21"/>
        <v/>
      </c>
      <c r="BB102" s="609" t="str">
        <f t="shared" si="21"/>
        <v/>
      </c>
      <c r="BC102" s="609" t="str">
        <f t="shared" si="21"/>
        <v/>
      </c>
      <c r="BD102" s="609" t="str">
        <f t="shared" si="21"/>
        <v/>
      </c>
      <c r="BE102" s="609" t="str">
        <f t="shared" si="21"/>
        <v/>
      </c>
      <c r="BF102" s="609" t="str">
        <f t="shared" si="21"/>
        <v/>
      </c>
      <c r="BG102" s="609" t="str">
        <f t="shared" si="21"/>
        <v/>
      </c>
    </row>
    <row r="103" spans="2:59" x14ac:dyDescent="0.25">
      <c r="B103" s="654">
        <v>97</v>
      </c>
      <c r="C103" s="654"/>
      <c r="D103" s="654"/>
      <c r="E103" s="655"/>
      <c r="F103" s="654"/>
      <c r="H103" s="609" t="str">
        <f t="shared" si="14"/>
        <v/>
      </c>
      <c r="I103" s="609" t="str">
        <f t="shared" si="21"/>
        <v/>
      </c>
      <c r="J103" s="609" t="str">
        <f t="shared" si="21"/>
        <v/>
      </c>
      <c r="K103" s="609" t="str">
        <f t="shared" si="21"/>
        <v/>
      </c>
      <c r="L103" s="609" t="str">
        <f t="shared" si="21"/>
        <v/>
      </c>
      <c r="M103" s="609" t="str">
        <f t="shared" si="21"/>
        <v/>
      </c>
      <c r="N103" s="609" t="str">
        <f t="shared" si="21"/>
        <v/>
      </c>
      <c r="O103" s="609" t="str">
        <f t="shared" si="21"/>
        <v/>
      </c>
      <c r="P103" s="609" t="str">
        <f t="shared" si="21"/>
        <v/>
      </c>
      <c r="Q103" s="609" t="str">
        <f t="shared" si="21"/>
        <v/>
      </c>
      <c r="R103" s="609" t="str">
        <f t="shared" si="21"/>
        <v/>
      </c>
      <c r="S103" s="609" t="str">
        <f t="shared" si="21"/>
        <v/>
      </c>
      <c r="T103" s="609" t="str">
        <f t="shared" si="21"/>
        <v/>
      </c>
      <c r="U103" s="609" t="str">
        <f t="shared" si="21"/>
        <v/>
      </c>
      <c r="V103" s="609" t="str">
        <f t="shared" si="21"/>
        <v/>
      </c>
      <c r="W103" s="609" t="str">
        <f t="shared" si="21"/>
        <v/>
      </c>
      <c r="X103" s="609" t="str">
        <f t="shared" si="21"/>
        <v/>
      </c>
      <c r="Y103" s="609" t="str">
        <f t="shared" si="21"/>
        <v/>
      </c>
      <c r="Z103" s="609" t="str">
        <f t="shared" si="21"/>
        <v/>
      </c>
      <c r="AA103" s="609" t="str">
        <f t="shared" si="21"/>
        <v/>
      </c>
      <c r="AB103" s="609" t="str">
        <f t="shared" si="21"/>
        <v/>
      </c>
      <c r="AC103" s="609" t="str">
        <f t="shared" si="21"/>
        <v/>
      </c>
      <c r="AD103" s="609" t="str">
        <f t="shared" si="21"/>
        <v/>
      </c>
      <c r="AE103" s="609" t="str">
        <f t="shared" si="21"/>
        <v/>
      </c>
      <c r="AF103" s="609" t="str">
        <f t="shared" si="21"/>
        <v/>
      </c>
      <c r="AG103" s="609" t="str">
        <f t="shared" si="21"/>
        <v/>
      </c>
      <c r="AH103" s="609" t="str">
        <f t="shared" si="21"/>
        <v/>
      </c>
      <c r="AI103" s="609" t="str">
        <f t="shared" si="21"/>
        <v/>
      </c>
      <c r="AJ103" s="609" t="str">
        <f t="shared" si="21"/>
        <v/>
      </c>
      <c r="AK103" s="609" t="str">
        <f t="shared" si="21"/>
        <v/>
      </c>
      <c r="AL103" s="609" t="str">
        <f t="shared" si="21"/>
        <v/>
      </c>
      <c r="AM103" s="609" t="str">
        <f t="shared" si="21"/>
        <v/>
      </c>
      <c r="AN103" s="609" t="str">
        <f t="shared" si="21"/>
        <v/>
      </c>
      <c r="AO103" s="609" t="str">
        <f t="shared" si="21"/>
        <v/>
      </c>
      <c r="AP103" s="609" t="str">
        <f t="shared" si="21"/>
        <v/>
      </c>
      <c r="AQ103" s="609" t="str">
        <f t="shared" si="21"/>
        <v/>
      </c>
      <c r="AR103" s="609" t="str">
        <f t="shared" si="21"/>
        <v/>
      </c>
      <c r="AS103" s="609" t="str">
        <f t="shared" si="21"/>
        <v/>
      </c>
      <c r="AT103" s="609" t="str">
        <f t="shared" si="21"/>
        <v/>
      </c>
      <c r="AU103" s="609" t="str">
        <f t="shared" si="21"/>
        <v/>
      </c>
      <c r="AV103" s="609" t="str">
        <f t="shared" si="21"/>
        <v/>
      </c>
      <c r="AW103" s="609" t="str">
        <f t="shared" si="21"/>
        <v/>
      </c>
      <c r="AX103" s="609" t="str">
        <f t="shared" si="21"/>
        <v/>
      </c>
      <c r="AY103" s="609" t="str">
        <f t="shared" si="21"/>
        <v/>
      </c>
      <c r="AZ103" s="609" t="str">
        <f t="shared" si="21"/>
        <v/>
      </c>
      <c r="BA103" s="609" t="str">
        <f t="shared" si="21"/>
        <v/>
      </c>
      <c r="BB103" s="609" t="str">
        <f t="shared" si="21"/>
        <v/>
      </c>
      <c r="BC103" s="609" t="str">
        <f t="shared" si="21"/>
        <v/>
      </c>
      <c r="BD103" s="609" t="str">
        <f t="shared" si="21"/>
        <v/>
      </c>
      <c r="BE103" s="609" t="str">
        <f t="shared" si="21"/>
        <v/>
      </c>
      <c r="BF103" s="609" t="str">
        <f t="shared" si="21"/>
        <v/>
      </c>
      <c r="BG103" s="609" t="str">
        <f t="shared" si="21"/>
        <v/>
      </c>
    </row>
    <row r="104" spans="2:59" x14ac:dyDescent="0.25">
      <c r="B104" s="654">
        <v>98</v>
      </c>
      <c r="C104" s="654"/>
      <c r="D104" s="654"/>
      <c r="E104" s="655"/>
      <c r="F104" s="654"/>
      <c r="H104" s="609" t="str">
        <f t="shared" si="14"/>
        <v/>
      </c>
      <c r="I104" s="609" t="str">
        <f t="shared" si="21"/>
        <v/>
      </c>
      <c r="J104" s="609" t="str">
        <f t="shared" si="21"/>
        <v/>
      </c>
      <c r="K104" s="609" t="str">
        <f t="shared" si="21"/>
        <v/>
      </c>
      <c r="L104" s="609" t="str">
        <f t="shared" si="21"/>
        <v/>
      </c>
      <c r="M104" s="609" t="str">
        <f t="shared" si="21"/>
        <v/>
      </c>
      <c r="N104" s="609" t="str">
        <f t="shared" si="21"/>
        <v/>
      </c>
      <c r="O104" s="609" t="str">
        <f t="shared" si="21"/>
        <v/>
      </c>
      <c r="P104" s="609" t="str">
        <f t="shared" si="21"/>
        <v/>
      </c>
      <c r="Q104" s="609" t="str">
        <f t="shared" si="21"/>
        <v/>
      </c>
      <c r="R104" s="609" t="str">
        <f t="shared" si="21"/>
        <v/>
      </c>
      <c r="S104" s="609" t="str">
        <f t="shared" si="21"/>
        <v/>
      </c>
      <c r="T104" s="609" t="str">
        <f t="shared" si="21"/>
        <v/>
      </c>
      <c r="U104" s="609" t="str">
        <f t="shared" si="21"/>
        <v/>
      </c>
      <c r="V104" s="609" t="str">
        <f t="shared" si="21"/>
        <v/>
      </c>
      <c r="W104" s="609" t="str">
        <f t="shared" si="21"/>
        <v/>
      </c>
      <c r="X104" s="609" t="str">
        <f t="shared" si="21"/>
        <v/>
      </c>
      <c r="Y104" s="609" t="str">
        <f t="shared" si="21"/>
        <v/>
      </c>
      <c r="Z104" s="609" t="str">
        <f t="shared" si="21"/>
        <v/>
      </c>
      <c r="AA104" s="609" t="str">
        <f t="shared" si="21"/>
        <v/>
      </c>
      <c r="AB104" s="609" t="str">
        <f t="shared" si="21"/>
        <v/>
      </c>
      <c r="AC104" s="609" t="str">
        <f t="shared" si="21"/>
        <v/>
      </c>
      <c r="AD104" s="609" t="str">
        <f t="shared" si="21"/>
        <v/>
      </c>
      <c r="AE104" s="609" t="str">
        <f t="shared" si="21"/>
        <v/>
      </c>
      <c r="AF104" s="609" t="str">
        <f t="shared" si="21"/>
        <v/>
      </c>
      <c r="AG104" s="609" t="str">
        <f t="shared" si="21"/>
        <v/>
      </c>
      <c r="AH104" s="609" t="str">
        <f t="shared" si="21"/>
        <v/>
      </c>
      <c r="AI104" s="609" t="str">
        <f t="shared" si="21"/>
        <v/>
      </c>
      <c r="AJ104" s="609" t="str">
        <f t="shared" si="21"/>
        <v/>
      </c>
      <c r="AK104" s="609" t="str">
        <f t="shared" si="21"/>
        <v/>
      </c>
      <c r="AL104" s="609" t="str">
        <f t="shared" si="21"/>
        <v/>
      </c>
      <c r="AM104" s="609" t="str">
        <f t="shared" si="21"/>
        <v/>
      </c>
      <c r="AN104" s="609" t="str">
        <f t="shared" si="21"/>
        <v/>
      </c>
      <c r="AO104" s="609" t="str">
        <f t="shared" si="21"/>
        <v/>
      </c>
      <c r="AP104" s="609" t="str">
        <f t="shared" si="21"/>
        <v/>
      </c>
      <c r="AQ104" s="609" t="str">
        <f t="shared" si="21"/>
        <v/>
      </c>
      <c r="AR104" s="609" t="str">
        <f t="shared" si="21"/>
        <v/>
      </c>
      <c r="AS104" s="609" t="str">
        <f t="shared" si="21"/>
        <v/>
      </c>
      <c r="AT104" s="609" t="str">
        <f t="shared" si="21"/>
        <v/>
      </c>
      <c r="AU104" s="609" t="str">
        <f t="shared" si="21"/>
        <v/>
      </c>
      <c r="AV104" s="609" t="str">
        <f t="shared" si="21"/>
        <v/>
      </c>
      <c r="AW104" s="609" t="str">
        <f t="shared" si="21"/>
        <v/>
      </c>
      <c r="AX104" s="609" t="str">
        <f t="shared" si="21"/>
        <v/>
      </c>
      <c r="AY104" s="609" t="str">
        <f t="shared" si="21"/>
        <v/>
      </c>
      <c r="AZ104" s="609" t="str">
        <f t="shared" si="21"/>
        <v/>
      </c>
      <c r="BA104" s="609" t="str">
        <f t="shared" si="21"/>
        <v/>
      </c>
      <c r="BB104" s="609" t="str">
        <f t="shared" si="21"/>
        <v/>
      </c>
      <c r="BC104" s="609" t="str">
        <f t="shared" si="21"/>
        <v/>
      </c>
      <c r="BD104" s="609" t="str">
        <f t="shared" si="21"/>
        <v/>
      </c>
      <c r="BE104" s="609" t="str">
        <f t="shared" si="21"/>
        <v/>
      </c>
      <c r="BF104" s="609" t="str">
        <f t="shared" si="21"/>
        <v/>
      </c>
      <c r="BG104" s="609" t="str">
        <f t="shared" si="21"/>
        <v/>
      </c>
    </row>
    <row r="105" spans="2:59" x14ac:dyDescent="0.25">
      <c r="B105" s="654">
        <v>99</v>
      </c>
      <c r="C105" s="654"/>
      <c r="D105" s="654"/>
      <c r="E105" s="655"/>
      <c r="F105" s="654"/>
      <c r="H105" s="609" t="str">
        <f t="shared" si="14"/>
        <v/>
      </c>
      <c r="I105" s="609" t="str">
        <f t="shared" si="21"/>
        <v/>
      </c>
      <c r="J105" s="609" t="str">
        <f t="shared" si="21"/>
        <v/>
      </c>
      <c r="K105" s="609" t="str">
        <f t="shared" si="21"/>
        <v/>
      </c>
      <c r="L105" s="609" t="str">
        <f t="shared" si="21"/>
        <v/>
      </c>
      <c r="M105" s="609" t="str">
        <f t="shared" si="21"/>
        <v/>
      </c>
      <c r="N105" s="609" t="str">
        <f t="shared" si="21"/>
        <v/>
      </c>
      <c r="O105" s="609" t="str">
        <f t="shared" si="21"/>
        <v/>
      </c>
      <c r="P105" s="609" t="str">
        <f t="shared" si="21"/>
        <v/>
      </c>
      <c r="Q105" s="609" t="str">
        <f t="shared" si="21"/>
        <v/>
      </c>
      <c r="R105" s="609" t="str">
        <f t="shared" si="21"/>
        <v/>
      </c>
      <c r="S105" s="609" t="str">
        <f t="shared" si="21"/>
        <v/>
      </c>
      <c r="T105" s="609" t="str">
        <f t="shared" si="21"/>
        <v/>
      </c>
      <c r="U105" s="609" t="str">
        <f t="shared" si="21"/>
        <v/>
      </c>
      <c r="V105" s="609" t="str">
        <f t="shared" si="21"/>
        <v/>
      </c>
      <c r="W105" s="609" t="str">
        <f t="shared" si="21"/>
        <v/>
      </c>
      <c r="X105" s="609" t="str">
        <f t="shared" si="21"/>
        <v/>
      </c>
      <c r="Y105" s="609" t="str">
        <f t="shared" si="21"/>
        <v/>
      </c>
      <c r="Z105" s="609" t="str">
        <f t="shared" si="21"/>
        <v/>
      </c>
      <c r="AA105" s="609" t="str">
        <f t="shared" si="21"/>
        <v/>
      </c>
      <c r="AB105" s="609" t="str">
        <f t="shared" si="21"/>
        <v/>
      </c>
      <c r="AC105" s="609" t="str">
        <f t="shared" si="21"/>
        <v/>
      </c>
      <c r="AD105" s="609" t="str">
        <f t="shared" si="21"/>
        <v/>
      </c>
      <c r="AE105" s="609" t="str">
        <f t="shared" si="21"/>
        <v/>
      </c>
      <c r="AF105" s="609" t="str">
        <f t="shared" si="21"/>
        <v/>
      </c>
      <c r="AG105" s="609" t="str">
        <f t="shared" si="21"/>
        <v/>
      </c>
      <c r="AH105" s="609" t="str">
        <f t="shared" si="21"/>
        <v/>
      </c>
      <c r="AI105" s="609" t="str">
        <f t="shared" si="21"/>
        <v/>
      </c>
      <c r="AJ105" s="609" t="str">
        <f t="shared" si="21"/>
        <v/>
      </c>
      <c r="AK105" s="609" t="str">
        <f t="shared" si="21"/>
        <v/>
      </c>
      <c r="AL105" s="609" t="str">
        <f t="shared" si="21"/>
        <v/>
      </c>
      <c r="AM105" s="609" t="str">
        <f t="shared" si="21"/>
        <v/>
      </c>
      <c r="AN105" s="609" t="str">
        <f t="shared" si="21"/>
        <v/>
      </c>
      <c r="AO105" s="609" t="str">
        <f t="shared" si="21"/>
        <v/>
      </c>
      <c r="AP105" s="609" t="str">
        <f t="shared" si="21"/>
        <v/>
      </c>
      <c r="AQ105" s="609" t="str">
        <f t="shared" si="21"/>
        <v/>
      </c>
      <c r="AR105" s="609" t="str">
        <f t="shared" si="21"/>
        <v/>
      </c>
      <c r="AS105" s="609" t="str">
        <f t="shared" si="21"/>
        <v/>
      </c>
      <c r="AT105" s="609" t="str">
        <f t="shared" si="21"/>
        <v/>
      </c>
      <c r="AU105" s="609" t="str">
        <f t="shared" si="21"/>
        <v/>
      </c>
      <c r="AV105" s="609" t="str">
        <f t="shared" si="21"/>
        <v/>
      </c>
      <c r="AW105" s="609" t="str">
        <f t="shared" si="21"/>
        <v/>
      </c>
      <c r="AX105" s="609" t="str">
        <f t="shared" si="21"/>
        <v/>
      </c>
      <c r="AY105" s="609" t="str">
        <f t="shared" si="21"/>
        <v/>
      </c>
      <c r="AZ105" s="609" t="str">
        <f t="shared" si="21"/>
        <v/>
      </c>
      <c r="BA105" s="609" t="str">
        <f t="shared" si="21"/>
        <v/>
      </c>
      <c r="BB105" s="609" t="str">
        <f t="shared" si="21"/>
        <v/>
      </c>
      <c r="BC105" s="609" t="str">
        <f t="shared" si="21"/>
        <v/>
      </c>
      <c r="BD105" s="609" t="str">
        <f t="shared" si="21"/>
        <v/>
      </c>
      <c r="BE105" s="609" t="str">
        <f t="shared" si="21"/>
        <v/>
      </c>
      <c r="BF105" s="609" t="str">
        <f t="shared" si="21"/>
        <v/>
      </c>
      <c r="BG105" s="609" t="str">
        <f t="shared" si="21"/>
        <v/>
      </c>
    </row>
    <row r="106" spans="2:59" x14ac:dyDescent="0.25">
      <c r="B106" s="654">
        <v>100</v>
      </c>
      <c r="C106" s="654"/>
      <c r="D106" s="654"/>
      <c r="E106" s="655"/>
      <c r="F106" s="654"/>
      <c r="H106" s="609" t="str">
        <f t="shared" si="14"/>
        <v/>
      </c>
      <c r="I106" s="609" t="str">
        <f t="shared" si="21"/>
        <v/>
      </c>
      <c r="J106" s="609" t="str">
        <f t="shared" si="21"/>
        <v/>
      </c>
      <c r="K106" s="609" t="str">
        <f t="shared" si="21"/>
        <v/>
      </c>
      <c r="L106" s="609" t="str">
        <f t="shared" si="21"/>
        <v/>
      </c>
      <c r="M106" s="609" t="str">
        <f t="shared" si="21"/>
        <v/>
      </c>
      <c r="N106" s="609" t="str">
        <f t="shared" si="21"/>
        <v/>
      </c>
      <c r="O106" s="609" t="str">
        <f t="shared" si="21"/>
        <v/>
      </c>
      <c r="P106" s="609" t="str">
        <f t="shared" si="21"/>
        <v/>
      </c>
      <c r="Q106" s="609" t="str">
        <f t="shared" si="21"/>
        <v/>
      </c>
      <c r="R106" s="609" t="str">
        <f t="shared" si="21"/>
        <v/>
      </c>
      <c r="S106" s="609" t="str">
        <f t="shared" si="21"/>
        <v/>
      </c>
      <c r="T106" s="609" t="str">
        <f t="shared" si="21"/>
        <v/>
      </c>
      <c r="U106" s="609" t="str">
        <f t="shared" si="21"/>
        <v/>
      </c>
      <c r="V106" s="609" t="str">
        <f t="shared" si="21"/>
        <v/>
      </c>
      <c r="W106" s="609" t="str">
        <f t="shared" si="21"/>
        <v/>
      </c>
      <c r="X106" s="609" t="str">
        <f t="shared" si="21"/>
        <v/>
      </c>
      <c r="Y106" s="609" t="str">
        <f t="shared" si="21"/>
        <v/>
      </c>
      <c r="Z106" s="609" t="str">
        <f t="shared" si="21"/>
        <v/>
      </c>
      <c r="AA106" s="609" t="str">
        <f t="shared" si="21"/>
        <v/>
      </c>
      <c r="AB106" s="609" t="str">
        <f t="shared" si="21"/>
        <v/>
      </c>
      <c r="AC106" s="609" t="str">
        <f t="shared" si="21"/>
        <v/>
      </c>
      <c r="AD106" s="609" t="str">
        <f t="shared" si="21"/>
        <v/>
      </c>
      <c r="AE106" s="609" t="str">
        <f t="shared" si="21"/>
        <v/>
      </c>
      <c r="AF106" s="609" t="str">
        <f t="shared" si="21"/>
        <v/>
      </c>
      <c r="AG106" s="609" t="str">
        <f t="shared" si="21"/>
        <v/>
      </c>
      <c r="AH106" s="609" t="str">
        <f t="shared" si="21"/>
        <v/>
      </c>
      <c r="AI106" s="609" t="str">
        <f t="shared" si="21"/>
        <v/>
      </c>
      <c r="AJ106" s="609" t="str">
        <f t="shared" si="21"/>
        <v/>
      </c>
      <c r="AK106" s="609" t="str">
        <f t="shared" si="21"/>
        <v/>
      </c>
      <c r="AL106" s="609" t="str">
        <f t="shared" si="21"/>
        <v/>
      </c>
      <c r="AM106" s="609" t="str">
        <f t="shared" si="21"/>
        <v/>
      </c>
      <c r="AN106" s="609" t="str">
        <f t="shared" si="21"/>
        <v/>
      </c>
      <c r="AO106" s="609" t="str">
        <f t="shared" si="21"/>
        <v/>
      </c>
      <c r="AP106" s="609" t="str">
        <f t="shared" si="21"/>
        <v/>
      </c>
      <c r="AQ106" s="609" t="str">
        <f t="shared" si="21"/>
        <v/>
      </c>
      <c r="AR106" s="609" t="str">
        <f t="shared" si="21"/>
        <v/>
      </c>
      <c r="AS106" s="609" t="str">
        <f t="shared" si="21"/>
        <v/>
      </c>
      <c r="AT106" s="609" t="str">
        <f t="shared" si="21"/>
        <v/>
      </c>
      <c r="AU106" s="609" t="str">
        <f t="shared" si="21"/>
        <v/>
      </c>
      <c r="AV106" s="609" t="str">
        <f t="shared" si="21"/>
        <v/>
      </c>
      <c r="AW106" s="609" t="str">
        <f t="shared" si="21"/>
        <v/>
      </c>
      <c r="AX106" s="609" t="str">
        <f t="shared" si="21"/>
        <v/>
      </c>
      <c r="AY106" s="609" t="str">
        <f t="shared" si="21"/>
        <v/>
      </c>
      <c r="AZ106" s="609" t="str">
        <f t="shared" si="21"/>
        <v/>
      </c>
      <c r="BA106" s="609" t="str">
        <f t="shared" si="21"/>
        <v/>
      </c>
      <c r="BB106" s="609" t="str">
        <f t="shared" si="21"/>
        <v/>
      </c>
      <c r="BC106" s="609" t="str">
        <f t="shared" si="21"/>
        <v/>
      </c>
      <c r="BD106" s="609" t="str">
        <f t="shared" si="21"/>
        <v/>
      </c>
      <c r="BE106" s="609" t="str">
        <f t="shared" si="21"/>
        <v/>
      </c>
      <c r="BF106" s="609" t="str">
        <f t="shared" si="21"/>
        <v/>
      </c>
      <c r="BG106" s="609" t="str">
        <f t="shared" si="21"/>
        <v/>
      </c>
    </row>
    <row r="107" spans="2:59" x14ac:dyDescent="0.25">
      <c r="B107" s="654">
        <v>101</v>
      </c>
      <c r="C107" s="654"/>
      <c r="D107" s="654"/>
      <c r="E107" s="655"/>
      <c r="F107" s="654"/>
      <c r="H107" s="609" t="str">
        <f t="shared" si="14"/>
        <v/>
      </c>
      <c r="I107" s="609" t="str">
        <f t="shared" si="21"/>
        <v/>
      </c>
      <c r="J107" s="609" t="str">
        <f t="shared" si="21"/>
        <v/>
      </c>
      <c r="K107" s="609" t="str">
        <f t="shared" si="21"/>
        <v/>
      </c>
      <c r="L107" s="609" t="str">
        <f t="shared" si="21"/>
        <v/>
      </c>
      <c r="M107" s="609" t="str">
        <f t="shared" si="21"/>
        <v/>
      </c>
      <c r="N107" s="609" t="str">
        <f t="shared" si="21"/>
        <v/>
      </c>
      <c r="O107" s="609" t="str">
        <f t="shared" si="21"/>
        <v/>
      </c>
      <c r="P107" s="609" t="str">
        <f t="shared" si="21"/>
        <v/>
      </c>
      <c r="Q107" s="609" t="str">
        <f t="shared" si="21"/>
        <v/>
      </c>
      <c r="R107" s="609" t="str">
        <f t="shared" si="21"/>
        <v/>
      </c>
      <c r="S107" s="609" t="str">
        <f t="shared" si="21"/>
        <v/>
      </c>
      <c r="T107" s="609" t="str">
        <f t="shared" si="21"/>
        <v/>
      </c>
      <c r="U107" s="609" t="str">
        <f t="shared" si="21"/>
        <v/>
      </c>
      <c r="V107" s="609" t="str">
        <f t="shared" si="21"/>
        <v/>
      </c>
      <c r="W107" s="609" t="str">
        <f t="shared" si="21"/>
        <v/>
      </c>
      <c r="X107" s="609" t="str">
        <f t="shared" si="21"/>
        <v/>
      </c>
      <c r="Y107" s="609" t="str">
        <f t="shared" si="21"/>
        <v/>
      </c>
      <c r="Z107" s="609" t="str">
        <f t="shared" si="21"/>
        <v/>
      </c>
      <c r="AA107" s="609" t="str">
        <f t="shared" si="21"/>
        <v/>
      </c>
      <c r="AB107" s="609" t="str">
        <f t="shared" si="21"/>
        <v/>
      </c>
      <c r="AC107" s="609" t="str">
        <f t="shared" si="21"/>
        <v/>
      </c>
      <c r="AD107" s="609" t="str">
        <f t="shared" si="21"/>
        <v/>
      </c>
      <c r="AE107" s="609" t="str">
        <f t="shared" si="21"/>
        <v/>
      </c>
      <c r="AF107" s="609" t="str">
        <f t="shared" si="21"/>
        <v/>
      </c>
      <c r="AG107" s="609" t="str">
        <f t="shared" si="21"/>
        <v/>
      </c>
      <c r="AH107" s="609" t="str">
        <f t="shared" si="21"/>
        <v/>
      </c>
      <c r="AI107" s="609" t="str">
        <f t="shared" si="21"/>
        <v/>
      </c>
      <c r="AJ107" s="609" t="str">
        <f t="shared" si="21"/>
        <v/>
      </c>
      <c r="AK107" s="609" t="str">
        <f t="shared" si="21"/>
        <v/>
      </c>
      <c r="AL107" s="609" t="str">
        <f t="shared" si="21"/>
        <v/>
      </c>
      <c r="AM107" s="609" t="str">
        <f t="shared" ref="I107:BG112" si="22">IF($D107=AM$6,$B107&amp;", ","")</f>
        <v/>
      </c>
      <c r="AN107" s="609" t="str">
        <f t="shared" si="22"/>
        <v/>
      </c>
      <c r="AO107" s="609" t="str">
        <f t="shared" si="22"/>
        <v/>
      </c>
      <c r="AP107" s="609" t="str">
        <f t="shared" si="22"/>
        <v/>
      </c>
      <c r="AQ107" s="609" t="str">
        <f t="shared" si="22"/>
        <v/>
      </c>
      <c r="AR107" s="609" t="str">
        <f t="shared" si="22"/>
        <v/>
      </c>
      <c r="AS107" s="609" t="str">
        <f t="shared" si="22"/>
        <v/>
      </c>
      <c r="AT107" s="609" t="str">
        <f t="shared" si="22"/>
        <v/>
      </c>
      <c r="AU107" s="609" t="str">
        <f t="shared" si="22"/>
        <v/>
      </c>
      <c r="AV107" s="609" t="str">
        <f t="shared" si="22"/>
        <v/>
      </c>
      <c r="AW107" s="609" t="str">
        <f t="shared" si="22"/>
        <v/>
      </c>
      <c r="AX107" s="609" t="str">
        <f t="shared" si="22"/>
        <v/>
      </c>
      <c r="AY107" s="609" t="str">
        <f t="shared" si="22"/>
        <v/>
      </c>
      <c r="AZ107" s="609" t="str">
        <f t="shared" si="22"/>
        <v/>
      </c>
      <c r="BA107" s="609" t="str">
        <f t="shared" si="22"/>
        <v/>
      </c>
      <c r="BB107" s="609" t="str">
        <f t="shared" si="22"/>
        <v/>
      </c>
      <c r="BC107" s="609" t="str">
        <f t="shared" si="22"/>
        <v/>
      </c>
      <c r="BD107" s="609" t="str">
        <f t="shared" si="22"/>
        <v/>
      </c>
      <c r="BE107" s="609" t="str">
        <f t="shared" si="22"/>
        <v/>
      </c>
      <c r="BF107" s="609" t="str">
        <f t="shared" si="22"/>
        <v/>
      </c>
      <c r="BG107" s="609" t="str">
        <f t="shared" si="22"/>
        <v/>
      </c>
    </row>
    <row r="108" spans="2:59" x14ac:dyDescent="0.25">
      <c r="B108" s="654">
        <v>102</v>
      </c>
      <c r="C108" s="654"/>
      <c r="D108" s="654"/>
      <c r="E108" s="655"/>
      <c r="F108" s="654"/>
      <c r="H108" s="609" t="str">
        <f t="shared" si="14"/>
        <v/>
      </c>
      <c r="I108" s="609" t="str">
        <f t="shared" si="22"/>
        <v/>
      </c>
      <c r="J108" s="609" t="str">
        <f t="shared" si="22"/>
        <v/>
      </c>
      <c r="K108" s="609" t="str">
        <f t="shared" si="22"/>
        <v/>
      </c>
      <c r="L108" s="609" t="str">
        <f t="shared" si="22"/>
        <v/>
      </c>
      <c r="M108" s="609" t="str">
        <f t="shared" si="22"/>
        <v/>
      </c>
      <c r="N108" s="609" t="str">
        <f t="shared" si="22"/>
        <v/>
      </c>
      <c r="O108" s="609" t="str">
        <f t="shared" si="22"/>
        <v/>
      </c>
      <c r="P108" s="609" t="str">
        <f t="shared" si="22"/>
        <v/>
      </c>
      <c r="Q108" s="609" t="str">
        <f t="shared" si="22"/>
        <v/>
      </c>
      <c r="R108" s="609" t="str">
        <f t="shared" si="22"/>
        <v/>
      </c>
      <c r="S108" s="609" t="str">
        <f t="shared" si="22"/>
        <v/>
      </c>
      <c r="T108" s="609" t="str">
        <f t="shared" si="22"/>
        <v/>
      </c>
      <c r="U108" s="609" t="str">
        <f t="shared" si="22"/>
        <v/>
      </c>
      <c r="V108" s="609" t="str">
        <f t="shared" si="22"/>
        <v/>
      </c>
      <c r="W108" s="609" t="str">
        <f t="shared" si="22"/>
        <v/>
      </c>
      <c r="X108" s="609" t="str">
        <f t="shared" si="22"/>
        <v/>
      </c>
      <c r="Y108" s="609" t="str">
        <f t="shared" si="22"/>
        <v/>
      </c>
      <c r="Z108" s="609" t="str">
        <f t="shared" si="22"/>
        <v/>
      </c>
      <c r="AA108" s="609" t="str">
        <f t="shared" si="22"/>
        <v/>
      </c>
      <c r="AB108" s="609" t="str">
        <f t="shared" si="22"/>
        <v/>
      </c>
      <c r="AC108" s="609" t="str">
        <f t="shared" si="22"/>
        <v/>
      </c>
      <c r="AD108" s="609" t="str">
        <f t="shared" si="22"/>
        <v/>
      </c>
      <c r="AE108" s="609" t="str">
        <f t="shared" si="22"/>
        <v/>
      </c>
      <c r="AF108" s="609" t="str">
        <f t="shared" si="22"/>
        <v/>
      </c>
      <c r="AG108" s="609" t="str">
        <f t="shared" si="22"/>
        <v/>
      </c>
      <c r="AH108" s="609" t="str">
        <f t="shared" si="22"/>
        <v/>
      </c>
      <c r="AI108" s="609" t="str">
        <f t="shared" si="22"/>
        <v/>
      </c>
      <c r="AJ108" s="609" t="str">
        <f t="shared" si="22"/>
        <v/>
      </c>
      <c r="AK108" s="609" t="str">
        <f t="shared" si="22"/>
        <v/>
      </c>
      <c r="AL108" s="609" t="str">
        <f t="shared" si="22"/>
        <v/>
      </c>
      <c r="AM108" s="609" t="str">
        <f t="shared" si="22"/>
        <v/>
      </c>
      <c r="AN108" s="609" t="str">
        <f t="shared" si="22"/>
        <v/>
      </c>
      <c r="AO108" s="609" t="str">
        <f t="shared" si="22"/>
        <v/>
      </c>
      <c r="AP108" s="609" t="str">
        <f t="shared" si="22"/>
        <v/>
      </c>
      <c r="AQ108" s="609" t="str">
        <f t="shared" si="22"/>
        <v/>
      </c>
      <c r="AR108" s="609" t="str">
        <f t="shared" si="22"/>
        <v/>
      </c>
      <c r="AS108" s="609" t="str">
        <f t="shared" si="22"/>
        <v/>
      </c>
      <c r="AT108" s="609" t="str">
        <f t="shared" si="22"/>
        <v/>
      </c>
      <c r="AU108" s="609" t="str">
        <f t="shared" si="22"/>
        <v/>
      </c>
      <c r="AV108" s="609" t="str">
        <f t="shared" si="22"/>
        <v/>
      </c>
      <c r="AW108" s="609" t="str">
        <f t="shared" si="22"/>
        <v/>
      </c>
      <c r="AX108" s="609" t="str">
        <f t="shared" si="22"/>
        <v/>
      </c>
      <c r="AY108" s="609" t="str">
        <f t="shared" si="22"/>
        <v/>
      </c>
      <c r="AZ108" s="609" t="str">
        <f t="shared" si="22"/>
        <v/>
      </c>
      <c r="BA108" s="609" t="str">
        <f t="shared" si="22"/>
        <v/>
      </c>
      <c r="BB108" s="609" t="str">
        <f t="shared" si="22"/>
        <v/>
      </c>
      <c r="BC108" s="609" t="str">
        <f t="shared" si="22"/>
        <v/>
      </c>
      <c r="BD108" s="609" t="str">
        <f t="shared" si="22"/>
        <v/>
      </c>
      <c r="BE108" s="609" t="str">
        <f t="shared" si="22"/>
        <v/>
      </c>
      <c r="BF108" s="609" t="str">
        <f t="shared" si="22"/>
        <v/>
      </c>
      <c r="BG108" s="609" t="str">
        <f t="shared" si="22"/>
        <v/>
      </c>
    </row>
    <row r="109" spans="2:59" x14ac:dyDescent="0.25">
      <c r="B109" s="654">
        <v>103</v>
      </c>
      <c r="C109" s="654"/>
      <c r="D109" s="654"/>
      <c r="E109" s="655"/>
      <c r="F109" s="654"/>
      <c r="H109" s="609" t="str">
        <f t="shared" si="14"/>
        <v/>
      </c>
      <c r="I109" s="609" t="str">
        <f t="shared" si="22"/>
        <v/>
      </c>
      <c r="J109" s="609" t="str">
        <f t="shared" si="22"/>
        <v/>
      </c>
      <c r="K109" s="609" t="str">
        <f t="shared" si="22"/>
        <v/>
      </c>
      <c r="L109" s="609" t="str">
        <f t="shared" si="22"/>
        <v/>
      </c>
      <c r="M109" s="609" t="str">
        <f t="shared" si="22"/>
        <v/>
      </c>
      <c r="N109" s="609" t="str">
        <f t="shared" si="22"/>
        <v/>
      </c>
      <c r="O109" s="609" t="str">
        <f t="shared" si="22"/>
        <v/>
      </c>
      <c r="P109" s="609" t="str">
        <f t="shared" si="22"/>
        <v/>
      </c>
      <c r="Q109" s="609" t="str">
        <f t="shared" si="22"/>
        <v/>
      </c>
      <c r="R109" s="609" t="str">
        <f t="shared" si="22"/>
        <v/>
      </c>
      <c r="S109" s="609" t="str">
        <f t="shared" si="22"/>
        <v/>
      </c>
      <c r="T109" s="609" t="str">
        <f t="shared" si="22"/>
        <v/>
      </c>
      <c r="U109" s="609" t="str">
        <f t="shared" si="22"/>
        <v/>
      </c>
      <c r="V109" s="609" t="str">
        <f t="shared" si="22"/>
        <v/>
      </c>
      <c r="W109" s="609" t="str">
        <f t="shared" si="22"/>
        <v/>
      </c>
      <c r="X109" s="609" t="str">
        <f t="shared" si="22"/>
        <v/>
      </c>
      <c r="Y109" s="609" t="str">
        <f t="shared" si="22"/>
        <v/>
      </c>
      <c r="Z109" s="609" t="str">
        <f t="shared" si="22"/>
        <v/>
      </c>
      <c r="AA109" s="609" t="str">
        <f t="shared" si="22"/>
        <v/>
      </c>
      <c r="AB109" s="609" t="str">
        <f t="shared" si="22"/>
        <v/>
      </c>
      <c r="AC109" s="609" t="str">
        <f t="shared" si="22"/>
        <v/>
      </c>
      <c r="AD109" s="609" t="str">
        <f t="shared" si="22"/>
        <v/>
      </c>
      <c r="AE109" s="609" t="str">
        <f t="shared" si="22"/>
        <v/>
      </c>
      <c r="AF109" s="609" t="str">
        <f t="shared" si="22"/>
        <v/>
      </c>
      <c r="AG109" s="609" t="str">
        <f t="shared" si="22"/>
        <v/>
      </c>
      <c r="AH109" s="609" t="str">
        <f t="shared" si="22"/>
        <v/>
      </c>
      <c r="AI109" s="609" t="str">
        <f t="shared" si="22"/>
        <v/>
      </c>
      <c r="AJ109" s="609" t="str">
        <f t="shared" si="22"/>
        <v/>
      </c>
      <c r="AK109" s="609" t="str">
        <f t="shared" si="22"/>
        <v/>
      </c>
      <c r="AL109" s="609" t="str">
        <f t="shared" si="22"/>
        <v/>
      </c>
      <c r="AM109" s="609" t="str">
        <f t="shared" si="22"/>
        <v/>
      </c>
      <c r="AN109" s="609" t="str">
        <f t="shared" si="22"/>
        <v/>
      </c>
      <c r="AO109" s="609" t="str">
        <f t="shared" si="22"/>
        <v/>
      </c>
      <c r="AP109" s="609" t="str">
        <f t="shared" si="22"/>
        <v/>
      </c>
      <c r="AQ109" s="609" t="str">
        <f t="shared" si="22"/>
        <v/>
      </c>
      <c r="AR109" s="609" t="str">
        <f t="shared" si="22"/>
        <v/>
      </c>
      <c r="AS109" s="609" t="str">
        <f t="shared" si="22"/>
        <v/>
      </c>
      <c r="AT109" s="609" t="str">
        <f t="shared" si="22"/>
        <v/>
      </c>
      <c r="AU109" s="609" t="str">
        <f t="shared" si="22"/>
        <v/>
      </c>
      <c r="AV109" s="609" t="str">
        <f t="shared" si="22"/>
        <v/>
      </c>
      <c r="AW109" s="609" t="str">
        <f t="shared" si="22"/>
        <v/>
      </c>
      <c r="AX109" s="609" t="str">
        <f t="shared" si="22"/>
        <v/>
      </c>
      <c r="AY109" s="609" t="str">
        <f t="shared" si="22"/>
        <v/>
      </c>
      <c r="AZ109" s="609" t="str">
        <f t="shared" si="22"/>
        <v/>
      </c>
      <c r="BA109" s="609" t="str">
        <f t="shared" si="22"/>
        <v/>
      </c>
      <c r="BB109" s="609" t="str">
        <f t="shared" si="22"/>
        <v/>
      </c>
      <c r="BC109" s="609" t="str">
        <f t="shared" si="22"/>
        <v/>
      </c>
      <c r="BD109" s="609" t="str">
        <f t="shared" si="22"/>
        <v/>
      </c>
      <c r="BE109" s="609" t="str">
        <f t="shared" si="22"/>
        <v/>
      </c>
      <c r="BF109" s="609" t="str">
        <f t="shared" si="22"/>
        <v/>
      </c>
      <c r="BG109" s="609" t="str">
        <f t="shared" si="22"/>
        <v/>
      </c>
    </row>
    <row r="110" spans="2:59" x14ac:dyDescent="0.25">
      <c r="B110" s="654">
        <v>104</v>
      </c>
      <c r="C110" s="654"/>
      <c r="D110" s="654"/>
      <c r="E110" s="655"/>
      <c r="F110" s="654"/>
      <c r="H110" s="609" t="str">
        <f t="shared" si="14"/>
        <v/>
      </c>
      <c r="I110" s="609" t="str">
        <f t="shared" si="22"/>
        <v/>
      </c>
      <c r="J110" s="609" t="str">
        <f t="shared" si="22"/>
        <v/>
      </c>
      <c r="K110" s="609" t="str">
        <f t="shared" si="22"/>
        <v/>
      </c>
      <c r="L110" s="609" t="str">
        <f t="shared" si="22"/>
        <v/>
      </c>
      <c r="M110" s="609" t="str">
        <f t="shared" si="22"/>
        <v/>
      </c>
      <c r="N110" s="609" t="str">
        <f t="shared" si="22"/>
        <v/>
      </c>
      <c r="O110" s="609" t="str">
        <f t="shared" si="22"/>
        <v/>
      </c>
      <c r="P110" s="609" t="str">
        <f t="shared" si="22"/>
        <v/>
      </c>
      <c r="Q110" s="609" t="str">
        <f t="shared" si="22"/>
        <v/>
      </c>
      <c r="R110" s="609" t="str">
        <f t="shared" si="22"/>
        <v/>
      </c>
      <c r="S110" s="609" t="str">
        <f t="shared" si="22"/>
        <v/>
      </c>
      <c r="T110" s="609" t="str">
        <f t="shared" si="22"/>
        <v/>
      </c>
      <c r="U110" s="609" t="str">
        <f t="shared" si="22"/>
        <v/>
      </c>
      <c r="V110" s="609" t="str">
        <f t="shared" si="22"/>
        <v/>
      </c>
      <c r="W110" s="609" t="str">
        <f t="shared" si="22"/>
        <v/>
      </c>
      <c r="X110" s="609" t="str">
        <f t="shared" si="22"/>
        <v/>
      </c>
      <c r="Y110" s="609" t="str">
        <f t="shared" si="22"/>
        <v/>
      </c>
      <c r="Z110" s="609" t="str">
        <f t="shared" si="22"/>
        <v/>
      </c>
      <c r="AA110" s="609" t="str">
        <f t="shared" si="22"/>
        <v/>
      </c>
      <c r="AB110" s="609" t="str">
        <f t="shared" si="22"/>
        <v/>
      </c>
      <c r="AC110" s="609" t="str">
        <f t="shared" si="22"/>
        <v/>
      </c>
      <c r="AD110" s="609" t="str">
        <f t="shared" si="22"/>
        <v/>
      </c>
      <c r="AE110" s="609" t="str">
        <f t="shared" si="22"/>
        <v/>
      </c>
      <c r="AF110" s="609" t="str">
        <f t="shared" si="22"/>
        <v/>
      </c>
      <c r="AG110" s="609" t="str">
        <f t="shared" si="22"/>
        <v/>
      </c>
      <c r="AH110" s="609" t="str">
        <f t="shared" si="22"/>
        <v/>
      </c>
      <c r="AI110" s="609" t="str">
        <f t="shared" si="22"/>
        <v/>
      </c>
      <c r="AJ110" s="609" t="str">
        <f t="shared" si="22"/>
        <v/>
      </c>
      <c r="AK110" s="609" t="str">
        <f t="shared" si="22"/>
        <v/>
      </c>
      <c r="AL110" s="609" t="str">
        <f t="shared" si="22"/>
        <v/>
      </c>
      <c r="AM110" s="609" t="str">
        <f t="shared" si="22"/>
        <v/>
      </c>
      <c r="AN110" s="609" t="str">
        <f t="shared" si="22"/>
        <v/>
      </c>
      <c r="AO110" s="609" t="str">
        <f t="shared" si="22"/>
        <v/>
      </c>
      <c r="AP110" s="609" t="str">
        <f t="shared" si="22"/>
        <v/>
      </c>
      <c r="AQ110" s="609" t="str">
        <f t="shared" si="22"/>
        <v/>
      </c>
      <c r="AR110" s="609" t="str">
        <f t="shared" si="22"/>
        <v/>
      </c>
      <c r="AS110" s="609" t="str">
        <f t="shared" si="22"/>
        <v/>
      </c>
      <c r="AT110" s="609" t="str">
        <f t="shared" si="22"/>
        <v/>
      </c>
      <c r="AU110" s="609" t="str">
        <f t="shared" si="22"/>
        <v/>
      </c>
      <c r="AV110" s="609" t="str">
        <f t="shared" si="22"/>
        <v/>
      </c>
      <c r="AW110" s="609" t="str">
        <f t="shared" si="22"/>
        <v/>
      </c>
      <c r="AX110" s="609" t="str">
        <f t="shared" si="22"/>
        <v/>
      </c>
      <c r="AY110" s="609" t="str">
        <f t="shared" si="22"/>
        <v/>
      </c>
      <c r="AZ110" s="609" t="str">
        <f t="shared" si="22"/>
        <v/>
      </c>
      <c r="BA110" s="609" t="str">
        <f t="shared" si="22"/>
        <v/>
      </c>
      <c r="BB110" s="609" t="str">
        <f t="shared" si="22"/>
        <v/>
      </c>
      <c r="BC110" s="609" t="str">
        <f t="shared" si="22"/>
        <v/>
      </c>
      <c r="BD110" s="609" t="str">
        <f t="shared" si="22"/>
        <v/>
      </c>
      <c r="BE110" s="609" t="str">
        <f t="shared" si="22"/>
        <v/>
      </c>
      <c r="BF110" s="609" t="str">
        <f t="shared" si="22"/>
        <v/>
      </c>
      <c r="BG110" s="609" t="str">
        <f t="shared" si="22"/>
        <v/>
      </c>
    </row>
    <row r="111" spans="2:59" x14ac:dyDescent="0.25">
      <c r="B111" s="654">
        <v>105</v>
      </c>
      <c r="C111" s="654"/>
      <c r="D111" s="654"/>
      <c r="E111" s="655"/>
      <c r="F111" s="654"/>
      <c r="H111" s="609" t="str">
        <f t="shared" si="14"/>
        <v/>
      </c>
      <c r="I111" s="609" t="str">
        <f t="shared" si="22"/>
        <v/>
      </c>
      <c r="J111" s="609" t="str">
        <f t="shared" si="22"/>
        <v/>
      </c>
      <c r="K111" s="609" t="str">
        <f t="shared" si="22"/>
        <v/>
      </c>
      <c r="L111" s="609" t="str">
        <f t="shared" si="22"/>
        <v/>
      </c>
      <c r="M111" s="609" t="str">
        <f t="shared" si="22"/>
        <v/>
      </c>
      <c r="N111" s="609" t="str">
        <f t="shared" si="22"/>
        <v/>
      </c>
      <c r="O111" s="609" t="str">
        <f t="shared" si="22"/>
        <v/>
      </c>
      <c r="P111" s="609" t="str">
        <f t="shared" si="22"/>
        <v/>
      </c>
      <c r="Q111" s="609" t="str">
        <f t="shared" si="22"/>
        <v/>
      </c>
      <c r="R111" s="609" t="str">
        <f t="shared" si="22"/>
        <v/>
      </c>
      <c r="S111" s="609" t="str">
        <f t="shared" si="22"/>
        <v/>
      </c>
      <c r="T111" s="609" t="str">
        <f t="shared" si="22"/>
        <v/>
      </c>
      <c r="U111" s="609" t="str">
        <f t="shared" si="22"/>
        <v/>
      </c>
      <c r="V111" s="609" t="str">
        <f t="shared" si="22"/>
        <v/>
      </c>
      <c r="W111" s="609" t="str">
        <f t="shared" si="22"/>
        <v/>
      </c>
      <c r="X111" s="609" t="str">
        <f t="shared" si="22"/>
        <v/>
      </c>
      <c r="Y111" s="609" t="str">
        <f t="shared" si="22"/>
        <v/>
      </c>
      <c r="Z111" s="609" t="str">
        <f t="shared" si="22"/>
        <v/>
      </c>
      <c r="AA111" s="609" t="str">
        <f t="shared" si="22"/>
        <v/>
      </c>
      <c r="AB111" s="609" t="str">
        <f t="shared" si="22"/>
        <v/>
      </c>
      <c r="AC111" s="609" t="str">
        <f t="shared" si="22"/>
        <v/>
      </c>
      <c r="AD111" s="609" t="str">
        <f t="shared" si="22"/>
        <v/>
      </c>
      <c r="AE111" s="609" t="str">
        <f t="shared" si="22"/>
        <v/>
      </c>
      <c r="AF111" s="609" t="str">
        <f t="shared" si="22"/>
        <v/>
      </c>
      <c r="AG111" s="609" t="str">
        <f t="shared" si="22"/>
        <v/>
      </c>
      <c r="AH111" s="609" t="str">
        <f t="shared" si="22"/>
        <v/>
      </c>
      <c r="AI111" s="609" t="str">
        <f t="shared" si="22"/>
        <v/>
      </c>
      <c r="AJ111" s="609" t="str">
        <f t="shared" si="22"/>
        <v/>
      </c>
      <c r="AK111" s="609" t="str">
        <f t="shared" si="22"/>
        <v/>
      </c>
      <c r="AL111" s="609" t="str">
        <f t="shared" si="22"/>
        <v/>
      </c>
      <c r="AM111" s="609" t="str">
        <f t="shared" si="22"/>
        <v/>
      </c>
      <c r="AN111" s="609" t="str">
        <f t="shared" si="22"/>
        <v/>
      </c>
      <c r="AO111" s="609" t="str">
        <f t="shared" si="22"/>
        <v/>
      </c>
      <c r="AP111" s="609" t="str">
        <f t="shared" si="22"/>
        <v/>
      </c>
      <c r="AQ111" s="609" t="str">
        <f t="shared" si="22"/>
        <v/>
      </c>
      <c r="AR111" s="609" t="str">
        <f t="shared" si="22"/>
        <v/>
      </c>
      <c r="AS111" s="609" t="str">
        <f t="shared" si="22"/>
        <v/>
      </c>
      <c r="AT111" s="609" t="str">
        <f t="shared" si="22"/>
        <v/>
      </c>
      <c r="AU111" s="609" t="str">
        <f t="shared" si="22"/>
        <v/>
      </c>
      <c r="AV111" s="609" t="str">
        <f t="shared" si="22"/>
        <v/>
      </c>
      <c r="AW111" s="609" t="str">
        <f t="shared" si="22"/>
        <v/>
      </c>
      <c r="AX111" s="609" t="str">
        <f t="shared" si="22"/>
        <v/>
      </c>
      <c r="AY111" s="609" t="str">
        <f t="shared" si="22"/>
        <v/>
      </c>
      <c r="AZ111" s="609" t="str">
        <f t="shared" si="22"/>
        <v/>
      </c>
      <c r="BA111" s="609" t="str">
        <f t="shared" si="22"/>
        <v/>
      </c>
      <c r="BB111" s="609" t="str">
        <f t="shared" si="22"/>
        <v/>
      </c>
      <c r="BC111" s="609" t="str">
        <f t="shared" si="22"/>
        <v/>
      </c>
      <c r="BD111" s="609" t="str">
        <f t="shared" si="22"/>
        <v/>
      </c>
      <c r="BE111" s="609" t="str">
        <f t="shared" si="22"/>
        <v/>
      </c>
      <c r="BF111" s="609" t="str">
        <f t="shared" si="22"/>
        <v/>
      </c>
      <c r="BG111" s="609" t="str">
        <f t="shared" si="22"/>
        <v/>
      </c>
    </row>
    <row r="112" spans="2:59" x14ac:dyDescent="0.25">
      <c r="B112" s="654">
        <v>106</v>
      </c>
      <c r="C112" s="654"/>
      <c r="D112" s="654"/>
      <c r="E112" s="655"/>
      <c r="F112" s="654"/>
      <c r="H112" s="609" t="str">
        <f t="shared" si="14"/>
        <v/>
      </c>
      <c r="I112" s="609" t="str">
        <f t="shared" si="22"/>
        <v/>
      </c>
      <c r="J112" s="609" t="str">
        <f t="shared" si="22"/>
        <v/>
      </c>
      <c r="K112" s="609" t="str">
        <f t="shared" si="22"/>
        <v/>
      </c>
      <c r="L112" s="609" t="str">
        <f t="shared" si="22"/>
        <v/>
      </c>
      <c r="M112" s="609" t="str">
        <f t="shared" si="22"/>
        <v/>
      </c>
      <c r="N112" s="609" t="str">
        <f t="shared" si="22"/>
        <v/>
      </c>
      <c r="O112" s="609" t="str">
        <f t="shared" si="22"/>
        <v/>
      </c>
      <c r="P112" s="609" t="str">
        <f t="shared" si="22"/>
        <v/>
      </c>
      <c r="Q112" s="609" t="str">
        <f t="shared" si="22"/>
        <v/>
      </c>
      <c r="R112" s="609" t="str">
        <f t="shared" si="22"/>
        <v/>
      </c>
      <c r="S112" s="609" t="str">
        <f t="shared" si="22"/>
        <v/>
      </c>
      <c r="T112" s="609" t="str">
        <f t="shared" si="22"/>
        <v/>
      </c>
      <c r="U112" s="609" t="str">
        <f t="shared" si="22"/>
        <v/>
      </c>
      <c r="V112" s="609" t="str">
        <f t="shared" si="22"/>
        <v/>
      </c>
      <c r="W112" s="609" t="str">
        <f t="shared" si="22"/>
        <v/>
      </c>
      <c r="X112" s="609" t="str">
        <f t="shared" si="22"/>
        <v/>
      </c>
      <c r="Y112" s="609" t="str">
        <f t="shared" si="22"/>
        <v/>
      </c>
      <c r="Z112" s="609" t="str">
        <f t="shared" si="22"/>
        <v/>
      </c>
      <c r="AA112" s="609" t="str">
        <f t="shared" si="22"/>
        <v/>
      </c>
      <c r="AB112" s="609" t="str">
        <f t="shared" si="22"/>
        <v/>
      </c>
      <c r="AC112" s="609" t="str">
        <f t="shared" si="22"/>
        <v/>
      </c>
      <c r="AD112" s="609" t="str">
        <f t="shared" si="22"/>
        <v/>
      </c>
      <c r="AE112" s="609" t="str">
        <f t="shared" si="22"/>
        <v/>
      </c>
      <c r="AF112" s="609" t="str">
        <f t="shared" si="22"/>
        <v/>
      </c>
      <c r="AG112" s="609" t="str">
        <f t="shared" si="22"/>
        <v/>
      </c>
      <c r="AH112" s="609" t="str">
        <f t="shared" si="22"/>
        <v/>
      </c>
      <c r="AI112" s="609" t="str">
        <f t="shared" si="22"/>
        <v/>
      </c>
      <c r="AJ112" s="609" t="str">
        <f t="shared" si="22"/>
        <v/>
      </c>
      <c r="AK112" s="609" t="str">
        <f t="shared" si="22"/>
        <v/>
      </c>
      <c r="AL112" s="609" t="str">
        <f t="shared" si="22"/>
        <v/>
      </c>
      <c r="AM112" s="609" t="str">
        <f t="shared" ref="I112:BG117" si="23">IF($D112=AM$6,$B112&amp;", ","")</f>
        <v/>
      </c>
      <c r="AN112" s="609" t="str">
        <f t="shared" si="23"/>
        <v/>
      </c>
      <c r="AO112" s="609" t="str">
        <f t="shared" si="23"/>
        <v/>
      </c>
      <c r="AP112" s="609" t="str">
        <f t="shared" si="23"/>
        <v/>
      </c>
      <c r="AQ112" s="609" t="str">
        <f t="shared" si="23"/>
        <v/>
      </c>
      <c r="AR112" s="609" t="str">
        <f t="shared" si="23"/>
        <v/>
      </c>
      <c r="AS112" s="609" t="str">
        <f t="shared" si="23"/>
        <v/>
      </c>
      <c r="AT112" s="609" t="str">
        <f t="shared" si="23"/>
        <v/>
      </c>
      <c r="AU112" s="609" t="str">
        <f t="shared" si="23"/>
        <v/>
      </c>
      <c r="AV112" s="609" t="str">
        <f t="shared" si="23"/>
        <v/>
      </c>
      <c r="AW112" s="609" t="str">
        <f t="shared" si="23"/>
        <v/>
      </c>
      <c r="AX112" s="609" t="str">
        <f t="shared" si="23"/>
        <v/>
      </c>
      <c r="AY112" s="609" t="str">
        <f t="shared" si="23"/>
        <v/>
      </c>
      <c r="AZ112" s="609" t="str">
        <f t="shared" si="23"/>
        <v/>
      </c>
      <c r="BA112" s="609" t="str">
        <f t="shared" si="23"/>
        <v/>
      </c>
      <c r="BB112" s="609" t="str">
        <f t="shared" si="23"/>
        <v/>
      </c>
      <c r="BC112" s="609" t="str">
        <f t="shared" si="23"/>
        <v/>
      </c>
      <c r="BD112" s="609" t="str">
        <f t="shared" si="23"/>
        <v/>
      </c>
      <c r="BE112" s="609" t="str">
        <f t="shared" si="23"/>
        <v/>
      </c>
      <c r="BF112" s="609" t="str">
        <f t="shared" si="23"/>
        <v/>
      </c>
      <c r="BG112" s="609" t="str">
        <f t="shared" si="23"/>
        <v/>
      </c>
    </row>
    <row r="113" spans="2:59" x14ac:dyDescent="0.25">
      <c r="B113" s="654">
        <v>107</v>
      </c>
      <c r="C113" s="654"/>
      <c r="D113" s="654"/>
      <c r="E113" s="655"/>
      <c r="F113" s="654"/>
      <c r="H113" s="609" t="str">
        <f t="shared" si="14"/>
        <v/>
      </c>
      <c r="I113" s="609" t="str">
        <f t="shared" si="23"/>
        <v/>
      </c>
      <c r="J113" s="609" t="str">
        <f t="shared" si="23"/>
        <v/>
      </c>
      <c r="K113" s="609" t="str">
        <f t="shared" si="23"/>
        <v/>
      </c>
      <c r="L113" s="609" t="str">
        <f t="shared" si="23"/>
        <v/>
      </c>
      <c r="M113" s="609" t="str">
        <f t="shared" si="23"/>
        <v/>
      </c>
      <c r="N113" s="609" t="str">
        <f t="shared" si="23"/>
        <v/>
      </c>
      <c r="O113" s="609" t="str">
        <f t="shared" si="23"/>
        <v/>
      </c>
      <c r="P113" s="609" t="str">
        <f t="shared" si="23"/>
        <v/>
      </c>
      <c r="Q113" s="609" t="str">
        <f t="shared" si="23"/>
        <v/>
      </c>
      <c r="R113" s="609" t="str">
        <f t="shared" si="23"/>
        <v/>
      </c>
      <c r="S113" s="609" t="str">
        <f t="shared" si="23"/>
        <v/>
      </c>
      <c r="T113" s="609" t="str">
        <f t="shared" si="23"/>
        <v/>
      </c>
      <c r="U113" s="609" t="str">
        <f t="shared" si="23"/>
        <v/>
      </c>
      <c r="V113" s="609" t="str">
        <f t="shared" si="23"/>
        <v/>
      </c>
      <c r="W113" s="609" t="str">
        <f t="shared" si="23"/>
        <v/>
      </c>
      <c r="X113" s="609" t="str">
        <f t="shared" si="23"/>
        <v/>
      </c>
      <c r="Y113" s="609" t="str">
        <f t="shared" si="23"/>
        <v/>
      </c>
      <c r="Z113" s="609" t="str">
        <f t="shared" si="23"/>
        <v/>
      </c>
      <c r="AA113" s="609" t="str">
        <f t="shared" si="23"/>
        <v/>
      </c>
      <c r="AB113" s="609" t="str">
        <f t="shared" si="23"/>
        <v/>
      </c>
      <c r="AC113" s="609" t="str">
        <f t="shared" si="23"/>
        <v/>
      </c>
      <c r="AD113" s="609" t="str">
        <f t="shared" si="23"/>
        <v/>
      </c>
      <c r="AE113" s="609" t="str">
        <f t="shared" si="23"/>
        <v/>
      </c>
      <c r="AF113" s="609" t="str">
        <f t="shared" si="23"/>
        <v/>
      </c>
      <c r="AG113" s="609" t="str">
        <f t="shared" si="23"/>
        <v/>
      </c>
      <c r="AH113" s="609" t="str">
        <f t="shared" si="23"/>
        <v/>
      </c>
      <c r="AI113" s="609" t="str">
        <f t="shared" si="23"/>
        <v/>
      </c>
      <c r="AJ113" s="609" t="str">
        <f t="shared" si="23"/>
        <v/>
      </c>
      <c r="AK113" s="609" t="str">
        <f t="shared" si="23"/>
        <v/>
      </c>
      <c r="AL113" s="609" t="str">
        <f t="shared" si="23"/>
        <v/>
      </c>
      <c r="AM113" s="609" t="str">
        <f t="shared" si="23"/>
        <v/>
      </c>
      <c r="AN113" s="609" t="str">
        <f t="shared" si="23"/>
        <v/>
      </c>
      <c r="AO113" s="609" t="str">
        <f t="shared" si="23"/>
        <v/>
      </c>
      <c r="AP113" s="609" t="str">
        <f t="shared" si="23"/>
        <v/>
      </c>
      <c r="AQ113" s="609" t="str">
        <f t="shared" si="23"/>
        <v/>
      </c>
      <c r="AR113" s="609" t="str">
        <f t="shared" si="23"/>
        <v/>
      </c>
      <c r="AS113" s="609" t="str">
        <f t="shared" si="23"/>
        <v/>
      </c>
      <c r="AT113" s="609" t="str">
        <f t="shared" si="23"/>
        <v/>
      </c>
      <c r="AU113" s="609" t="str">
        <f t="shared" si="23"/>
        <v/>
      </c>
      <c r="AV113" s="609" t="str">
        <f t="shared" si="23"/>
        <v/>
      </c>
      <c r="AW113" s="609" t="str">
        <f t="shared" si="23"/>
        <v/>
      </c>
      <c r="AX113" s="609" t="str">
        <f t="shared" si="23"/>
        <v/>
      </c>
      <c r="AY113" s="609" t="str">
        <f t="shared" si="23"/>
        <v/>
      </c>
      <c r="AZ113" s="609" t="str">
        <f t="shared" si="23"/>
        <v/>
      </c>
      <c r="BA113" s="609" t="str">
        <f t="shared" si="23"/>
        <v/>
      </c>
      <c r="BB113" s="609" t="str">
        <f t="shared" si="23"/>
        <v/>
      </c>
      <c r="BC113" s="609" t="str">
        <f t="shared" si="23"/>
        <v/>
      </c>
      <c r="BD113" s="609" t="str">
        <f t="shared" si="23"/>
        <v/>
      </c>
      <c r="BE113" s="609" t="str">
        <f t="shared" si="23"/>
        <v/>
      </c>
      <c r="BF113" s="609" t="str">
        <f t="shared" si="23"/>
        <v/>
      </c>
      <c r="BG113" s="609" t="str">
        <f t="shared" si="23"/>
        <v/>
      </c>
    </row>
    <row r="114" spans="2:59" x14ac:dyDescent="0.25">
      <c r="B114" s="654">
        <v>108</v>
      </c>
      <c r="C114" s="654"/>
      <c r="D114" s="654"/>
      <c r="E114" s="655"/>
      <c r="F114" s="654"/>
      <c r="H114" s="609" t="str">
        <f t="shared" si="14"/>
        <v/>
      </c>
      <c r="I114" s="609" t="str">
        <f t="shared" si="23"/>
        <v/>
      </c>
      <c r="J114" s="609" t="str">
        <f t="shared" si="23"/>
        <v/>
      </c>
      <c r="K114" s="609" t="str">
        <f t="shared" si="23"/>
        <v/>
      </c>
      <c r="L114" s="609" t="str">
        <f t="shared" si="23"/>
        <v/>
      </c>
      <c r="M114" s="609" t="str">
        <f t="shared" si="23"/>
        <v/>
      </c>
      <c r="N114" s="609" t="str">
        <f t="shared" si="23"/>
        <v/>
      </c>
      <c r="O114" s="609" t="str">
        <f t="shared" si="23"/>
        <v/>
      </c>
      <c r="P114" s="609" t="str">
        <f t="shared" si="23"/>
        <v/>
      </c>
      <c r="Q114" s="609" t="str">
        <f t="shared" si="23"/>
        <v/>
      </c>
      <c r="R114" s="609" t="str">
        <f t="shared" si="23"/>
        <v/>
      </c>
      <c r="S114" s="609" t="str">
        <f t="shared" si="23"/>
        <v/>
      </c>
      <c r="T114" s="609" t="str">
        <f t="shared" si="23"/>
        <v/>
      </c>
      <c r="U114" s="609" t="str">
        <f t="shared" si="23"/>
        <v/>
      </c>
      <c r="V114" s="609" t="str">
        <f t="shared" si="23"/>
        <v/>
      </c>
      <c r="W114" s="609" t="str">
        <f t="shared" si="23"/>
        <v/>
      </c>
      <c r="X114" s="609" t="str">
        <f t="shared" si="23"/>
        <v/>
      </c>
      <c r="Y114" s="609" t="str">
        <f t="shared" si="23"/>
        <v/>
      </c>
      <c r="Z114" s="609" t="str">
        <f t="shared" si="23"/>
        <v/>
      </c>
      <c r="AA114" s="609" t="str">
        <f t="shared" si="23"/>
        <v/>
      </c>
      <c r="AB114" s="609" t="str">
        <f t="shared" si="23"/>
        <v/>
      </c>
      <c r="AC114" s="609" t="str">
        <f t="shared" si="23"/>
        <v/>
      </c>
      <c r="AD114" s="609" t="str">
        <f t="shared" si="23"/>
        <v/>
      </c>
      <c r="AE114" s="609" t="str">
        <f t="shared" si="23"/>
        <v/>
      </c>
      <c r="AF114" s="609" t="str">
        <f t="shared" si="23"/>
        <v/>
      </c>
      <c r="AG114" s="609" t="str">
        <f t="shared" si="23"/>
        <v/>
      </c>
      <c r="AH114" s="609" t="str">
        <f t="shared" si="23"/>
        <v/>
      </c>
      <c r="AI114" s="609" t="str">
        <f t="shared" si="23"/>
        <v/>
      </c>
      <c r="AJ114" s="609" t="str">
        <f t="shared" si="23"/>
        <v/>
      </c>
      <c r="AK114" s="609" t="str">
        <f t="shared" si="23"/>
        <v/>
      </c>
      <c r="AL114" s="609" t="str">
        <f t="shared" si="23"/>
        <v/>
      </c>
      <c r="AM114" s="609" t="str">
        <f t="shared" si="23"/>
        <v/>
      </c>
      <c r="AN114" s="609" t="str">
        <f t="shared" si="23"/>
        <v/>
      </c>
      <c r="AO114" s="609" t="str">
        <f t="shared" si="23"/>
        <v/>
      </c>
      <c r="AP114" s="609" t="str">
        <f t="shared" si="23"/>
        <v/>
      </c>
      <c r="AQ114" s="609" t="str">
        <f t="shared" si="23"/>
        <v/>
      </c>
      <c r="AR114" s="609" t="str">
        <f t="shared" si="23"/>
        <v/>
      </c>
      <c r="AS114" s="609" t="str">
        <f t="shared" si="23"/>
        <v/>
      </c>
      <c r="AT114" s="609" t="str">
        <f t="shared" si="23"/>
        <v/>
      </c>
      <c r="AU114" s="609" t="str">
        <f t="shared" si="23"/>
        <v/>
      </c>
      <c r="AV114" s="609" t="str">
        <f t="shared" si="23"/>
        <v/>
      </c>
      <c r="AW114" s="609" t="str">
        <f t="shared" si="23"/>
        <v/>
      </c>
      <c r="AX114" s="609" t="str">
        <f t="shared" si="23"/>
        <v/>
      </c>
      <c r="AY114" s="609" t="str">
        <f t="shared" si="23"/>
        <v/>
      </c>
      <c r="AZ114" s="609" t="str">
        <f t="shared" si="23"/>
        <v/>
      </c>
      <c r="BA114" s="609" t="str">
        <f t="shared" si="23"/>
        <v/>
      </c>
      <c r="BB114" s="609" t="str">
        <f t="shared" si="23"/>
        <v/>
      </c>
      <c r="BC114" s="609" t="str">
        <f t="shared" si="23"/>
        <v/>
      </c>
      <c r="BD114" s="609" t="str">
        <f t="shared" si="23"/>
        <v/>
      </c>
      <c r="BE114" s="609" t="str">
        <f t="shared" si="23"/>
        <v/>
      </c>
      <c r="BF114" s="609" t="str">
        <f t="shared" si="23"/>
        <v/>
      </c>
      <c r="BG114" s="609" t="str">
        <f t="shared" si="23"/>
        <v/>
      </c>
    </row>
    <row r="115" spans="2:59" x14ac:dyDescent="0.25">
      <c r="B115" s="654">
        <v>109</v>
      </c>
      <c r="C115" s="654"/>
      <c r="D115" s="654"/>
      <c r="E115" s="655"/>
      <c r="F115" s="654"/>
      <c r="H115" s="609" t="str">
        <f t="shared" si="14"/>
        <v/>
      </c>
      <c r="I115" s="609" t="str">
        <f t="shared" si="23"/>
        <v/>
      </c>
      <c r="J115" s="609" t="str">
        <f t="shared" si="23"/>
        <v/>
      </c>
      <c r="K115" s="609" t="str">
        <f t="shared" si="23"/>
        <v/>
      </c>
      <c r="L115" s="609" t="str">
        <f t="shared" si="23"/>
        <v/>
      </c>
      <c r="M115" s="609" t="str">
        <f t="shared" si="23"/>
        <v/>
      </c>
      <c r="N115" s="609" t="str">
        <f t="shared" si="23"/>
        <v/>
      </c>
      <c r="O115" s="609" t="str">
        <f t="shared" si="23"/>
        <v/>
      </c>
      <c r="P115" s="609" t="str">
        <f t="shared" si="23"/>
        <v/>
      </c>
      <c r="Q115" s="609" t="str">
        <f t="shared" si="23"/>
        <v/>
      </c>
      <c r="R115" s="609" t="str">
        <f t="shared" si="23"/>
        <v/>
      </c>
      <c r="S115" s="609" t="str">
        <f t="shared" si="23"/>
        <v/>
      </c>
      <c r="T115" s="609" t="str">
        <f t="shared" si="23"/>
        <v/>
      </c>
      <c r="U115" s="609" t="str">
        <f t="shared" si="23"/>
        <v/>
      </c>
      <c r="V115" s="609" t="str">
        <f t="shared" si="23"/>
        <v/>
      </c>
      <c r="W115" s="609" t="str">
        <f t="shared" si="23"/>
        <v/>
      </c>
      <c r="X115" s="609" t="str">
        <f t="shared" si="23"/>
        <v/>
      </c>
      <c r="Y115" s="609" t="str">
        <f t="shared" si="23"/>
        <v/>
      </c>
      <c r="Z115" s="609" t="str">
        <f t="shared" si="23"/>
        <v/>
      </c>
      <c r="AA115" s="609" t="str">
        <f t="shared" si="23"/>
        <v/>
      </c>
      <c r="AB115" s="609" t="str">
        <f t="shared" si="23"/>
        <v/>
      </c>
      <c r="AC115" s="609" t="str">
        <f t="shared" si="23"/>
        <v/>
      </c>
      <c r="AD115" s="609" t="str">
        <f t="shared" si="23"/>
        <v/>
      </c>
      <c r="AE115" s="609" t="str">
        <f t="shared" si="23"/>
        <v/>
      </c>
      <c r="AF115" s="609" t="str">
        <f t="shared" si="23"/>
        <v/>
      </c>
      <c r="AG115" s="609" t="str">
        <f t="shared" si="23"/>
        <v/>
      </c>
      <c r="AH115" s="609" t="str">
        <f t="shared" si="23"/>
        <v/>
      </c>
      <c r="AI115" s="609" t="str">
        <f t="shared" si="23"/>
        <v/>
      </c>
      <c r="AJ115" s="609" t="str">
        <f t="shared" si="23"/>
        <v/>
      </c>
      <c r="AK115" s="609" t="str">
        <f t="shared" si="23"/>
        <v/>
      </c>
      <c r="AL115" s="609" t="str">
        <f t="shared" si="23"/>
        <v/>
      </c>
      <c r="AM115" s="609" t="str">
        <f t="shared" si="23"/>
        <v/>
      </c>
      <c r="AN115" s="609" t="str">
        <f t="shared" si="23"/>
        <v/>
      </c>
      <c r="AO115" s="609" t="str">
        <f t="shared" si="23"/>
        <v/>
      </c>
      <c r="AP115" s="609" t="str">
        <f t="shared" si="23"/>
        <v/>
      </c>
      <c r="AQ115" s="609" t="str">
        <f t="shared" si="23"/>
        <v/>
      </c>
      <c r="AR115" s="609" t="str">
        <f t="shared" si="23"/>
        <v/>
      </c>
      <c r="AS115" s="609" t="str">
        <f t="shared" si="23"/>
        <v/>
      </c>
      <c r="AT115" s="609" t="str">
        <f t="shared" si="23"/>
        <v/>
      </c>
      <c r="AU115" s="609" t="str">
        <f t="shared" si="23"/>
        <v/>
      </c>
      <c r="AV115" s="609" t="str">
        <f t="shared" si="23"/>
        <v/>
      </c>
      <c r="AW115" s="609" t="str">
        <f t="shared" si="23"/>
        <v/>
      </c>
      <c r="AX115" s="609" t="str">
        <f t="shared" si="23"/>
        <v/>
      </c>
      <c r="AY115" s="609" t="str">
        <f t="shared" si="23"/>
        <v/>
      </c>
      <c r="AZ115" s="609" t="str">
        <f t="shared" si="23"/>
        <v/>
      </c>
      <c r="BA115" s="609" t="str">
        <f t="shared" si="23"/>
        <v/>
      </c>
      <c r="BB115" s="609" t="str">
        <f t="shared" si="23"/>
        <v/>
      </c>
      <c r="BC115" s="609" t="str">
        <f t="shared" si="23"/>
        <v/>
      </c>
      <c r="BD115" s="609" t="str">
        <f t="shared" si="23"/>
        <v/>
      </c>
      <c r="BE115" s="609" t="str">
        <f t="shared" si="23"/>
        <v/>
      </c>
      <c r="BF115" s="609" t="str">
        <f t="shared" si="23"/>
        <v/>
      </c>
      <c r="BG115" s="609" t="str">
        <f t="shared" si="23"/>
        <v/>
      </c>
    </row>
    <row r="116" spans="2:59" x14ac:dyDescent="0.25">
      <c r="B116" s="654">
        <v>110</v>
      </c>
      <c r="C116" s="654"/>
      <c r="D116" s="654"/>
      <c r="E116" s="655"/>
      <c r="F116" s="654"/>
      <c r="H116" s="609" t="str">
        <f t="shared" si="14"/>
        <v/>
      </c>
      <c r="I116" s="609" t="str">
        <f t="shared" si="23"/>
        <v/>
      </c>
      <c r="J116" s="609" t="str">
        <f t="shared" si="23"/>
        <v/>
      </c>
      <c r="K116" s="609" t="str">
        <f t="shared" si="23"/>
        <v/>
      </c>
      <c r="L116" s="609" t="str">
        <f t="shared" si="23"/>
        <v/>
      </c>
      <c r="M116" s="609" t="str">
        <f t="shared" si="23"/>
        <v/>
      </c>
      <c r="N116" s="609" t="str">
        <f t="shared" si="23"/>
        <v/>
      </c>
      <c r="O116" s="609" t="str">
        <f t="shared" si="23"/>
        <v/>
      </c>
      <c r="P116" s="609" t="str">
        <f t="shared" si="23"/>
        <v/>
      </c>
      <c r="Q116" s="609" t="str">
        <f t="shared" si="23"/>
        <v/>
      </c>
      <c r="R116" s="609" t="str">
        <f t="shared" si="23"/>
        <v/>
      </c>
      <c r="S116" s="609" t="str">
        <f t="shared" si="23"/>
        <v/>
      </c>
      <c r="T116" s="609" t="str">
        <f t="shared" si="23"/>
        <v/>
      </c>
      <c r="U116" s="609" t="str">
        <f t="shared" si="23"/>
        <v/>
      </c>
      <c r="V116" s="609" t="str">
        <f t="shared" si="23"/>
        <v/>
      </c>
      <c r="W116" s="609" t="str">
        <f t="shared" si="23"/>
        <v/>
      </c>
      <c r="X116" s="609" t="str">
        <f t="shared" si="23"/>
        <v/>
      </c>
      <c r="Y116" s="609" t="str">
        <f t="shared" si="23"/>
        <v/>
      </c>
      <c r="Z116" s="609" t="str">
        <f t="shared" si="23"/>
        <v/>
      </c>
      <c r="AA116" s="609" t="str">
        <f t="shared" si="23"/>
        <v/>
      </c>
      <c r="AB116" s="609" t="str">
        <f t="shared" si="23"/>
        <v/>
      </c>
      <c r="AC116" s="609" t="str">
        <f t="shared" si="23"/>
        <v/>
      </c>
      <c r="AD116" s="609" t="str">
        <f t="shared" si="23"/>
        <v/>
      </c>
      <c r="AE116" s="609" t="str">
        <f t="shared" si="23"/>
        <v/>
      </c>
      <c r="AF116" s="609" t="str">
        <f t="shared" si="23"/>
        <v/>
      </c>
      <c r="AG116" s="609" t="str">
        <f t="shared" si="23"/>
        <v/>
      </c>
      <c r="AH116" s="609" t="str">
        <f t="shared" si="23"/>
        <v/>
      </c>
      <c r="AI116" s="609" t="str">
        <f t="shared" si="23"/>
        <v/>
      </c>
      <c r="AJ116" s="609" t="str">
        <f t="shared" si="23"/>
        <v/>
      </c>
      <c r="AK116" s="609" t="str">
        <f t="shared" si="23"/>
        <v/>
      </c>
      <c r="AL116" s="609" t="str">
        <f t="shared" si="23"/>
        <v/>
      </c>
      <c r="AM116" s="609" t="str">
        <f t="shared" si="23"/>
        <v/>
      </c>
      <c r="AN116" s="609" t="str">
        <f t="shared" si="23"/>
        <v/>
      </c>
      <c r="AO116" s="609" t="str">
        <f t="shared" si="23"/>
        <v/>
      </c>
      <c r="AP116" s="609" t="str">
        <f t="shared" si="23"/>
        <v/>
      </c>
      <c r="AQ116" s="609" t="str">
        <f t="shared" si="23"/>
        <v/>
      </c>
      <c r="AR116" s="609" t="str">
        <f t="shared" si="23"/>
        <v/>
      </c>
      <c r="AS116" s="609" t="str">
        <f t="shared" si="23"/>
        <v/>
      </c>
      <c r="AT116" s="609" t="str">
        <f t="shared" si="23"/>
        <v/>
      </c>
      <c r="AU116" s="609" t="str">
        <f t="shared" si="23"/>
        <v/>
      </c>
      <c r="AV116" s="609" t="str">
        <f t="shared" si="23"/>
        <v/>
      </c>
      <c r="AW116" s="609" t="str">
        <f t="shared" si="23"/>
        <v/>
      </c>
      <c r="AX116" s="609" t="str">
        <f t="shared" si="23"/>
        <v/>
      </c>
      <c r="AY116" s="609" t="str">
        <f t="shared" si="23"/>
        <v/>
      </c>
      <c r="AZ116" s="609" t="str">
        <f t="shared" si="23"/>
        <v/>
      </c>
      <c r="BA116" s="609" t="str">
        <f t="shared" si="23"/>
        <v/>
      </c>
      <c r="BB116" s="609" t="str">
        <f t="shared" si="23"/>
        <v/>
      </c>
      <c r="BC116" s="609" t="str">
        <f t="shared" si="23"/>
        <v/>
      </c>
      <c r="BD116" s="609" t="str">
        <f t="shared" si="23"/>
        <v/>
      </c>
      <c r="BE116" s="609" t="str">
        <f t="shared" si="23"/>
        <v/>
      </c>
      <c r="BF116" s="609" t="str">
        <f t="shared" si="23"/>
        <v/>
      </c>
      <c r="BG116" s="609" t="str">
        <f t="shared" si="23"/>
        <v/>
      </c>
    </row>
    <row r="117" spans="2:59" x14ac:dyDescent="0.25">
      <c r="B117" s="654">
        <v>111</v>
      </c>
      <c r="C117" s="654"/>
      <c r="D117" s="654"/>
      <c r="E117" s="655"/>
      <c r="F117" s="654"/>
      <c r="H117" s="609" t="str">
        <f t="shared" si="14"/>
        <v/>
      </c>
      <c r="I117" s="609" t="str">
        <f t="shared" si="23"/>
        <v/>
      </c>
      <c r="J117" s="609" t="str">
        <f t="shared" si="23"/>
        <v/>
      </c>
      <c r="K117" s="609" t="str">
        <f t="shared" si="23"/>
        <v/>
      </c>
      <c r="L117" s="609" t="str">
        <f t="shared" si="23"/>
        <v/>
      </c>
      <c r="M117" s="609" t="str">
        <f t="shared" si="23"/>
        <v/>
      </c>
      <c r="N117" s="609" t="str">
        <f t="shared" si="23"/>
        <v/>
      </c>
      <c r="O117" s="609" t="str">
        <f t="shared" si="23"/>
        <v/>
      </c>
      <c r="P117" s="609" t="str">
        <f t="shared" si="23"/>
        <v/>
      </c>
      <c r="Q117" s="609" t="str">
        <f t="shared" si="23"/>
        <v/>
      </c>
      <c r="R117" s="609" t="str">
        <f t="shared" si="23"/>
        <v/>
      </c>
      <c r="S117" s="609" t="str">
        <f t="shared" si="23"/>
        <v/>
      </c>
      <c r="T117" s="609" t="str">
        <f t="shared" si="23"/>
        <v/>
      </c>
      <c r="U117" s="609" t="str">
        <f t="shared" si="23"/>
        <v/>
      </c>
      <c r="V117" s="609" t="str">
        <f t="shared" si="23"/>
        <v/>
      </c>
      <c r="W117" s="609" t="str">
        <f t="shared" si="23"/>
        <v/>
      </c>
      <c r="X117" s="609" t="str">
        <f t="shared" si="23"/>
        <v/>
      </c>
      <c r="Y117" s="609" t="str">
        <f t="shared" si="23"/>
        <v/>
      </c>
      <c r="Z117" s="609" t="str">
        <f t="shared" si="23"/>
        <v/>
      </c>
      <c r="AA117" s="609" t="str">
        <f t="shared" si="23"/>
        <v/>
      </c>
      <c r="AB117" s="609" t="str">
        <f t="shared" si="23"/>
        <v/>
      </c>
      <c r="AC117" s="609" t="str">
        <f t="shared" si="23"/>
        <v/>
      </c>
      <c r="AD117" s="609" t="str">
        <f t="shared" si="23"/>
        <v/>
      </c>
      <c r="AE117" s="609" t="str">
        <f t="shared" si="23"/>
        <v/>
      </c>
      <c r="AF117" s="609" t="str">
        <f t="shared" si="23"/>
        <v/>
      </c>
      <c r="AG117" s="609" t="str">
        <f t="shared" si="23"/>
        <v/>
      </c>
      <c r="AH117" s="609" t="str">
        <f t="shared" si="23"/>
        <v/>
      </c>
      <c r="AI117" s="609" t="str">
        <f t="shared" si="23"/>
        <v/>
      </c>
      <c r="AJ117" s="609" t="str">
        <f t="shared" si="23"/>
        <v/>
      </c>
      <c r="AK117" s="609" t="str">
        <f t="shared" si="23"/>
        <v/>
      </c>
      <c r="AL117" s="609" t="str">
        <f t="shared" si="23"/>
        <v/>
      </c>
      <c r="AM117" s="609" t="str">
        <f t="shared" ref="I117:BG122" si="24">IF($D117=AM$6,$B117&amp;", ","")</f>
        <v/>
      </c>
      <c r="AN117" s="609" t="str">
        <f t="shared" si="24"/>
        <v/>
      </c>
      <c r="AO117" s="609" t="str">
        <f t="shared" si="24"/>
        <v/>
      </c>
      <c r="AP117" s="609" t="str">
        <f t="shared" si="24"/>
        <v/>
      </c>
      <c r="AQ117" s="609" t="str">
        <f t="shared" si="24"/>
        <v/>
      </c>
      <c r="AR117" s="609" t="str">
        <f t="shared" si="24"/>
        <v/>
      </c>
      <c r="AS117" s="609" t="str">
        <f t="shared" si="24"/>
        <v/>
      </c>
      <c r="AT117" s="609" t="str">
        <f t="shared" si="24"/>
        <v/>
      </c>
      <c r="AU117" s="609" t="str">
        <f t="shared" si="24"/>
        <v/>
      </c>
      <c r="AV117" s="609" t="str">
        <f t="shared" si="24"/>
        <v/>
      </c>
      <c r="AW117" s="609" t="str">
        <f t="shared" si="24"/>
        <v/>
      </c>
      <c r="AX117" s="609" t="str">
        <f t="shared" si="24"/>
        <v/>
      </c>
      <c r="AY117" s="609" t="str">
        <f t="shared" si="24"/>
        <v/>
      </c>
      <c r="AZ117" s="609" t="str">
        <f t="shared" si="24"/>
        <v/>
      </c>
      <c r="BA117" s="609" t="str">
        <f t="shared" si="24"/>
        <v/>
      </c>
      <c r="BB117" s="609" t="str">
        <f t="shared" si="24"/>
        <v/>
      </c>
      <c r="BC117" s="609" t="str">
        <f t="shared" si="24"/>
        <v/>
      </c>
      <c r="BD117" s="609" t="str">
        <f t="shared" si="24"/>
        <v/>
      </c>
      <c r="BE117" s="609" t="str">
        <f t="shared" si="24"/>
        <v/>
      </c>
      <c r="BF117" s="609" t="str">
        <f t="shared" si="24"/>
        <v/>
      </c>
      <c r="BG117" s="609" t="str">
        <f t="shared" si="24"/>
        <v/>
      </c>
    </row>
    <row r="118" spans="2:59" x14ac:dyDescent="0.25">
      <c r="B118" s="654">
        <v>112</v>
      </c>
      <c r="C118" s="654"/>
      <c r="D118" s="654"/>
      <c r="E118" s="655"/>
      <c r="F118" s="654"/>
      <c r="H118" s="609" t="str">
        <f t="shared" si="14"/>
        <v/>
      </c>
      <c r="I118" s="609" t="str">
        <f t="shared" si="24"/>
        <v/>
      </c>
      <c r="J118" s="609" t="str">
        <f t="shared" si="24"/>
        <v/>
      </c>
      <c r="K118" s="609" t="str">
        <f t="shared" si="24"/>
        <v/>
      </c>
      <c r="L118" s="609" t="str">
        <f t="shared" si="24"/>
        <v/>
      </c>
      <c r="M118" s="609" t="str">
        <f t="shared" si="24"/>
        <v/>
      </c>
      <c r="N118" s="609" t="str">
        <f t="shared" si="24"/>
        <v/>
      </c>
      <c r="O118" s="609" t="str">
        <f t="shared" si="24"/>
        <v/>
      </c>
      <c r="P118" s="609" t="str">
        <f t="shared" si="24"/>
        <v/>
      </c>
      <c r="Q118" s="609" t="str">
        <f t="shared" si="24"/>
        <v/>
      </c>
      <c r="R118" s="609" t="str">
        <f t="shared" si="24"/>
        <v/>
      </c>
      <c r="S118" s="609" t="str">
        <f t="shared" si="24"/>
        <v/>
      </c>
      <c r="T118" s="609" t="str">
        <f t="shared" si="24"/>
        <v/>
      </c>
      <c r="U118" s="609" t="str">
        <f t="shared" si="24"/>
        <v/>
      </c>
      <c r="V118" s="609" t="str">
        <f t="shared" si="24"/>
        <v/>
      </c>
      <c r="W118" s="609" t="str">
        <f t="shared" si="24"/>
        <v/>
      </c>
      <c r="X118" s="609" t="str">
        <f t="shared" si="24"/>
        <v/>
      </c>
      <c r="Y118" s="609" t="str">
        <f t="shared" si="24"/>
        <v/>
      </c>
      <c r="Z118" s="609" t="str">
        <f t="shared" si="24"/>
        <v/>
      </c>
      <c r="AA118" s="609" t="str">
        <f t="shared" si="24"/>
        <v/>
      </c>
      <c r="AB118" s="609" t="str">
        <f t="shared" si="24"/>
        <v/>
      </c>
      <c r="AC118" s="609" t="str">
        <f t="shared" si="24"/>
        <v/>
      </c>
      <c r="AD118" s="609" t="str">
        <f t="shared" si="24"/>
        <v/>
      </c>
      <c r="AE118" s="609" t="str">
        <f t="shared" si="24"/>
        <v/>
      </c>
      <c r="AF118" s="609" t="str">
        <f t="shared" si="24"/>
        <v/>
      </c>
      <c r="AG118" s="609" t="str">
        <f t="shared" si="24"/>
        <v/>
      </c>
      <c r="AH118" s="609" t="str">
        <f t="shared" si="24"/>
        <v/>
      </c>
      <c r="AI118" s="609" t="str">
        <f t="shared" si="24"/>
        <v/>
      </c>
      <c r="AJ118" s="609" t="str">
        <f t="shared" si="24"/>
        <v/>
      </c>
      <c r="AK118" s="609" t="str">
        <f t="shared" si="24"/>
        <v/>
      </c>
      <c r="AL118" s="609" t="str">
        <f t="shared" si="24"/>
        <v/>
      </c>
      <c r="AM118" s="609" t="str">
        <f t="shared" si="24"/>
        <v/>
      </c>
      <c r="AN118" s="609" t="str">
        <f t="shared" si="24"/>
        <v/>
      </c>
      <c r="AO118" s="609" t="str">
        <f t="shared" si="24"/>
        <v/>
      </c>
      <c r="AP118" s="609" t="str">
        <f t="shared" si="24"/>
        <v/>
      </c>
      <c r="AQ118" s="609" t="str">
        <f t="shared" si="24"/>
        <v/>
      </c>
      <c r="AR118" s="609" t="str">
        <f t="shared" si="24"/>
        <v/>
      </c>
      <c r="AS118" s="609" t="str">
        <f t="shared" si="24"/>
        <v/>
      </c>
      <c r="AT118" s="609" t="str">
        <f t="shared" si="24"/>
        <v/>
      </c>
      <c r="AU118" s="609" t="str">
        <f t="shared" si="24"/>
        <v/>
      </c>
      <c r="AV118" s="609" t="str">
        <f t="shared" si="24"/>
        <v/>
      </c>
      <c r="AW118" s="609" t="str">
        <f t="shared" si="24"/>
        <v/>
      </c>
      <c r="AX118" s="609" t="str">
        <f t="shared" si="24"/>
        <v/>
      </c>
      <c r="AY118" s="609" t="str">
        <f t="shared" si="24"/>
        <v/>
      </c>
      <c r="AZ118" s="609" t="str">
        <f t="shared" si="24"/>
        <v/>
      </c>
      <c r="BA118" s="609" t="str">
        <f t="shared" si="24"/>
        <v/>
      </c>
      <c r="BB118" s="609" t="str">
        <f t="shared" si="24"/>
        <v/>
      </c>
      <c r="BC118" s="609" t="str">
        <f t="shared" si="24"/>
        <v/>
      </c>
      <c r="BD118" s="609" t="str">
        <f t="shared" si="24"/>
        <v/>
      </c>
      <c r="BE118" s="609" t="str">
        <f t="shared" si="24"/>
        <v/>
      </c>
      <c r="BF118" s="609" t="str">
        <f t="shared" si="24"/>
        <v/>
      </c>
      <c r="BG118" s="609" t="str">
        <f t="shared" si="24"/>
        <v/>
      </c>
    </row>
    <row r="119" spans="2:59" x14ac:dyDescent="0.25">
      <c r="B119" s="654">
        <v>113</v>
      </c>
      <c r="C119" s="654"/>
      <c r="D119" s="654"/>
      <c r="E119" s="655"/>
      <c r="F119" s="654"/>
      <c r="H119" s="609" t="str">
        <f t="shared" si="14"/>
        <v/>
      </c>
      <c r="I119" s="609" t="str">
        <f t="shared" si="24"/>
        <v/>
      </c>
      <c r="J119" s="609" t="str">
        <f t="shared" si="24"/>
        <v/>
      </c>
      <c r="K119" s="609" t="str">
        <f t="shared" si="24"/>
        <v/>
      </c>
      <c r="L119" s="609" t="str">
        <f t="shared" si="24"/>
        <v/>
      </c>
      <c r="M119" s="609" t="str">
        <f t="shared" si="24"/>
        <v/>
      </c>
      <c r="N119" s="609" t="str">
        <f t="shared" si="24"/>
        <v/>
      </c>
      <c r="O119" s="609" t="str">
        <f t="shared" si="24"/>
        <v/>
      </c>
      <c r="P119" s="609" t="str">
        <f t="shared" si="24"/>
        <v/>
      </c>
      <c r="Q119" s="609" t="str">
        <f t="shared" si="24"/>
        <v/>
      </c>
      <c r="R119" s="609" t="str">
        <f t="shared" si="24"/>
        <v/>
      </c>
      <c r="S119" s="609" t="str">
        <f t="shared" si="24"/>
        <v/>
      </c>
      <c r="T119" s="609" t="str">
        <f t="shared" si="24"/>
        <v/>
      </c>
      <c r="U119" s="609" t="str">
        <f t="shared" si="24"/>
        <v/>
      </c>
      <c r="V119" s="609" t="str">
        <f t="shared" si="24"/>
        <v/>
      </c>
      <c r="W119" s="609" t="str">
        <f t="shared" si="24"/>
        <v/>
      </c>
      <c r="X119" s="609" t="str">
        <f t="shared" si="24"/>
        <v/>
      </c>
      <c r="Y119" s="609" t="str">
        <f t="shared" si="24"/>
        <v/>
      </c>
      <c r="Z119" s="609" t="str">
        <f t="shared" si="24"/>
        <v/>
      </c>
      <c r="AA119" s="609" t="str">
        <f t="shared" si="24"/>
        <v/>
      </c>
      <c r="AB119" s="609" t="str">
        <f t="shared" si="24"/>
        <v/>
      </c>
      <c r="AC119" s="609" t="str">
        <f t="shared" si="24"/>
        <v/>
      </c>
      <c r="AD119" s="609" t="str">
        <f t="shared" si="24"/>
        <v/>
      </c>
      <c r="AE119" s="609" t="str">
        <f t="shared" si="24"/>
        <v/>
      </c>
      <c r="AF119" s="609" t="str">
        <f t="shared" si="24"/>
        <v/>
      </c>
      <c r="AG119" s="609" t="str">
        <f t="shared" si="24"/>
        <v/>
      </c>
      <c r="AH119" s="609" t="str">
        <f t="shared" si="24"/>
        <v/>
      </c>
      <c r="AI119" s="609" t="str">
        <f t="shared" si="24"/>
        <v/>
      </c>
      <c r="AJ119" s="609" t="str">
        <f t="shared" si="24"/>
        <v/>
      </c>
      <c r="AK119" s="609" t="str">
        <f t="shared" si="24"/>
        <v/>
      </c>
      <c r="AL119" s="609" t="str">
        <f t="shared" si="24"/>
        <v/>
      </c>
      <c r="AM119" s="609" t="str">
        <f t="shared" si="24"/>
        <v/>
      </c>
      <c r="AN119" s="609" t="str">
        <f t="shared" si="24"/>
        <v/>
      </c>
      <c r="AO119" s="609" t="str">
        <f t="shared" si="24"/>
        <v/>
      </c>
      <c r="AP119" s="609" t="str">
        <f t="shared" si="24"/>
        <v/>
      </c>
      <c r="AQ119" s="609" t="str">
        <f t="shared" si="24"/>
        <v/>
      </c>
      <c r="AR119" s="609" t="str">
        <f t="shared" si="24"/>
        <v/>
      </c>
      <c r="AS119" s="609" t="str">
        <f t="shared" si="24"/>
        <v/>
      </c>
      <c r="AT119" s="609" t="str">
        <f t="shared" si="24"/>
        <v/>
      </c>
      <c r="AU119" s="609" t="str">
        <f t="shared" si="24"/>
        <v/>
      </c>
      <c r="AV119" s="609" t="str">
        <f t="shared" si="24"/>
        <v/>
      </c>
      <c r="AW119" s="609" t="str">
        <f t="shared" si="24"/>
        <v/>
      </c>
      <c r="AX119" s="609" t="str">
        <f t="shared" si="24"/>
        <v/>
      </c>
      <c r="AY119" s="609" t="str">
        <f t="shared" si="24"/>
        <v/>
      </c>
      <c r="AZ119" s="609" t="str">
        <f t="shared" si="24"/>
        <v/>
      </c>
      <c r="BA119" s="609" t="str">
        <f t="shared" si="24"/>
        <v/>
      </c>
      <c r="BB119" s="609" t="str">
        <f t="shared" si="24"/>
        <v/>
      </c>
      <c r="BC119" s="609" t="str">
        <f t="shared" si="24"/>
        <v/>
      </c>
      <c r="BD119" s="609" t="str">
        <f t="shared" si="24"/>
        <v/>
      </c>
      <c r="BE119" s="609" t="str">
        <f t="shared" si="24"/>
        <v/>
      </c>
      <c r="BF119" s="609" t="str">
        <f t="shared" si="24"/>
        <v/>
      </c>
      <c r="BG119" s="609" t="str">
        <f t="shared" si="24"/>
        <v/>
      </c>
    </row>
    <row r="120" spans="2:59" x14ac:dyDescent="0.25">
      <c r="B120" s="654">
        <v>114</v>
      </c>
      <c r="C120" s="654"/>
      <c r="D120" s="654"/>
      <c r="E120" s="655"/>
      <c r="F120" s="654"/>
      <c r="H120" s="609" t="str">
        <f t="shared" si="14"/>
        <v/>
      </c>
      <c r="I120" s="609" t="str">
        <f t="shared" si="24"/>
        <v/>
      </c>
      <c r="J120" s="609" t="str">
        <f t="shared" si="24"/>
        <v/>
      </c>
      <c r="K120" s="609" t="str">
        <f t="shared" si="24"/>
        <v/>
      </c>
      <c r="L120" s="609" t="str">
        <f t="shared" si="24"/>
        <v/>
      </c>
      <c r="M120" s="609" t="str">
        <f t="shared" si="24"/>
        <v/>
      </c>
      <c r="N120" s="609" t="str">
        <f t="shared" si="24"/>
        <v/>
      </c>
      <c r="O120" s="609" t="str">
        <f t="shared" si="24"/>
        <v/>
      </c>
      <c r="P120" s="609" t="str">
        <f t="shared" si="24"/>
        <v/>
      </c>
      <c r="Q120" s="609" t="str">
        <f t="shared" si="24"/>
        <v/>
      </c>
      <c r="R120" s="609" t="str">
        <f t="shared" si="24"/>
        <v/>
      </c>
      <c r="S120" s="609" t="str">
        <f t="shared" si="24"/>
        <v/>
      </c>
      <c r="T120" s="609" t="str">
        <f t="shared" si="24"/>
        <v/>
      </c>
      <c r="U120" s="609" t="str">
        <f t="shared" si="24"/>
        <v/>
      </c>
      <c r="V120" s="609" t="str">
        <f t="shared" si="24"/>
        <v/>
      </c>
      <c r="W120" s="609" t="str">
        <f t="shared" si="24"/>
        <v/>
      </c>
      <c r="X120" s="609" t="str">
        <f t="shared" si="24"/>
        <v/>
      </c>
      <c r="Y120" s="609" t="str">
        <f t="shared" si="24"/>
        <v/>
      </c>
      <c r="Z120" s="609" t="str">
        <f t="shared" si="24"/>
        <v/>
      </c>
      <c r="AA120" s="609" t="str">
        <f t="shared" si="24"/>
        <v/>
      </c>
      <c r="AB120" s="609" t="str">
        <f t="shared" si="24"/>
        <v/>
      </c>
      <c r="AC120" s="609" t="str">
        <f t="shared" si="24"/>
        <v/>
      </c>
      <c r="AD120" s="609" t="str">
        <f t="shared" si="24"/>
        <v/>
      </c>
      <c r="AE120" s="609" t="str">
        <f t="shared" si="24"/>
        <v/>
      </c>
      <c r="AF120" s="609" t="str">
        <f t="shared" si="24"/>
        <v/>
      </c>
      <c r="AG120" s="609" t="str">
        <f t="shared" si="24"/>
        <v/>
      </c>
      <c r="AH120" s="609" t="str">
        <f t="shared" si="24"/>
        <v/>
      </c>
      <c r="AI120" s="609" t="str">
        <f t="shared" si="24"/>
        <v/>
      </c>
      <c r="AJ120" s="609" t="str">
        <f t="shared" si="24"/>
        <v/>
      </c>
      <c r="AK120" s="609" t="str">
        <f t="shared" si="24"/>
        <v/>
      </c>
      <c r="AL120" s="609" t="str">
        <f t="shared" si="24"/>
        <v/>
      </c>
      <c r="AM120" s="609" t="str">
        <f t="shared" si="24"/>
        <v/>
      </c>
      <c r="AN120" s="609" t="str">
        <f t="shared" si="24"/>
        <v/>
      </c>
      <c r="AO120" s="609" t="str">
        <f t="shared" si="24"/>
        <v/>
      </c>
      <c r="AP120" s="609" t="str">
        <f t="shared" si="24"/>
        <v/>
      </c>
      <c r="AQ120" s="609" t="str">
        <f t="shared" si="24"/>
        <v/>
      </c>
      <c r="AR120" s="609" t="str">
        <f t="shared" si="24"/>
        <v/>
      </c>
      <c r="AS120" s="609" t="str">
        <f t="shared" si="24"/>
        <v/>
      </c>
      <c r="AT120" s="609" t="str">
        <f t="shared" si="24"/>
        <v/>
      </c>
      <c r="AU120" s="609" t="str">
        <f t="shared" si="24"/>
        <v/>
      </c>
      <c r="AV120" s="609" t="str">
        <f t="shared" si="24"/>
        <v/>
      </c>
      <c r="AW120" s="609" t="str">
        <f t="shared" si="24"/>
        <v/>
      </c>
      <c r="AX120" s="609" t="str">
        <f t="shared" si="24"/>
        <v/>
      </c>
      <c r="AY120" s="609" t="str">
        <f t="shared" si="24"/>
        <v/>
      </c>
      <c r="AZ120" s="609" t="str">
        <f t="shared" si="24"/>
        <v/>
      </c>
      <c r="BA120" s="609" t="str">
        <f t="shared" si="24"/>
        <v/>
      </c>
      <c r="BB120" s="609" t="str">
        <f t="shared" si="24"/>
        <v/>
      </c>
      <c r="BC120" s="609" t="str">
        <f t="shared" si="24"/>
        <v/>
      </c>
      <c r="BD120" s="609" t="str">
        <f t="shared" si="24"/>
        <v/>
      </c>
      <c r="BE120" s="609" t="str">
        <f t="shared" si="24"/>
        <v/>
      </c>
      <c r="BF120" s="609" t="str">
        <f t="shared" si="24"/>
        <v/>
      </c>
      <c r="BG120" s="609" t="str">
        <f t="shared" si="24"/>
        <v/>
      </c>
    </row>
    <row r="121" spans="2:59" x14ac:dyDescent="0.25">
      <c r="B121" s="654">
        <v>115</v>
      </c>
      <c r="C121" s="654"/>
      <c r="D121" s="654"/>
      <c r="E121" s="655"/>
      <c r="F121" s="654"/>
      <c r="H121" s="609" t="str">
        <f t="shared" si="14"/>
        <v/>
      </c>
      <c r="I121" s="609" t="str">
        <f t="shared" si="24"/>
        <v/>
      </c>
      <c r="J121" s="609" t="str">
        <f t="shared" si="24"/>
        <v/>
      </c>
      <c r="K121" s="609" t="str">
        <f t="shared" si="24"/>
        <v/>
      </c>
      <c r="L121" s="609" t="str">
        <f t="shared" si="24"/>
        <v/>
      </c>
      <c r="M121" s="609" t="str">
        <f t="shared" si="24"/>
        <v/>
      </c>
      <c r="N121" s="609" t="str">
        <f t="shared" si="24"/>
        <v/>
      </c>
      <c r="O121" s="609" t="str">
        <f t="shared" si="24"/>
        <v/>
      </c>
      <c r="P121" s="609" t="str">
        <f t="shared" si="24"/>
        <v/>
      </c>
      <c r="Q121" s="609" t="str">
        <f t="shared" si="24"/>
        <v/>
      </c>
      <c r="R121" s="609" t="str">
        <f t="shared" si="24"/>
        <v/>
      </c>
      <c r="S121" s="609" t="str">
        <f t="shared" si="24"/>
        <v/>
      </c>
      <c r="T121" s="609" t="str">
        <f t="shared" si="24"/>
        <v/>
      </c>
      <c r="U121" s="609" t="str">
        <f t="shared" si="24"/>
        <v/>
      </c>
      <c r="V121" s="609" t="str">
        <f t="shared" si="24"/>
        <v/>
      </c>
      <c r="W121" s="609" t="str">
        <f t="shared" si="24"/>
        <v/>
      </c>
      <c r="X121" s="609" t="str">
        <f t="shared" si="24"/>
        <v/>
      </c>
      <c r="Y121" s="609" t="str">
        <f t="shared" si="24"/>
        <v/>
      </c>
      <c r="Z121" s="609" t="str">
        <f t="shared" si="24"/>
        <v/>
      </c>
      <c r="AA121" s="609" t="str">
        <f t="shared" si="24"/>
        <v/>
      </c>
      <c r="AB121" s="609" t="str">
        <f t="shared" si="24"/>
        <v/>
      </c>
      <c r="AC121" s="609" t="str">
        <f t="shared" si="24"/>
        <v/>
      </c>
      <c r="AD121" s="609" t="str">
        <f t="shared" si="24"/>
        <v/>
      </c>
      <c r="AE121" s="609" t="str">
        <f t="shared" si="24"/>
        <v/>
      </c>
      <c r="AF121" s="609" t="str">
        <f t="shared" si="24"/>
        <v/>
      </c>
      <c r="AG121" s="609" t="str">
        <f t="shared" si="24"/>
        <v/>
      </c>
      <c r="AH121" s="609" t="str">
        <f t="shared" si="24"/>
        <v/>
      </c>
      <c r="AI121" s="609" t="str">
        <f t="shared" si="24"/>
        <v/>
      </c>
      <c r="AJ121" s="609" t="str">
        <f t="shared" si="24"/>
        <v/>
      </c>
      <c r="AK121" s="609" t="str">
        <f t="shared" si="24"/>
        <v/>
      </c>
      <c r="AL121" s="609" t="str">
        <f t="shared" si="24"/>
        <v/>
      </c>
      <c r="AM121" s="609" t="str">
        <f t="shared" si="24"/>
        <v/>
      </c>
      <c r="AN121" s="609" t="str">
        <f t="shared" si="24"/>
        <v/>
      </c>
      <c r="AO121" s="609" t="str">
        <f t="shared" si="24"/>
        <v/>
      </c>
      <c r="AP121" s="609" t="str">
        <f t="shared" si="24"/>
        <v/>
      </c>
      <c r="AQ121" s="609" t="str">
        <f t="shared" si="24"/>
        <v/>
      </c>
      <c r="AR121" s="609" t="str">
        <f t="shared" si="24"/>
        <v/>
      </c>
      <c r="AS121" s="609" t="str">
        <f t="shared" si="24"/>
        <v/>
      </c>
      <c r="AT121" s="609" t="str">
        <f t="shared" si="24"/>
        <v/>
      </c>
      <c r="AU121" s="609" t="str">
        <f t="shared" si="24"/>
        <v/>
      </c>
      <c r="AV121" s="609" t="str">
        <f t="shared" si="24"/>
        <v/>
      </c>
      <c r="AW121" s="609" t="str">
        <f t="shared" si="24"/>
        <v/>
      </c>
      <c r="AX121" s="609" t="str">
        <f t="shared" si="24"/>
        <v/>
      </c>
      <c r="AY121" s="609" t="str">
        <f t="shared" si="24"/>
        <v/>
      </c>
      <c r="AZ121" s="609" t="str">
        <f t="shared" si="24"/>
        <v/>
      </c>
      <c r="BA121" s="609" t="str">
        <f t="shared" si="24"/>
        <v/>
      </c>
      <c r="BB121" s="609" t="str">
        <f t="shared" si="24"/>
        <v/>
      </c>
      <c r="BC121" s="609" t="str">
        <f t="shared" si="24"/>
        <v/>
      </c>
      <c r="BD121" s="609" t="str">
        <f t="shared" si="24"/>
        <v/>
      </c>
      <c r="BE121" s="609" t="str">
        <f t="shared" si="24"/>
        <v/>
      </c>
      <c r="BF121" s="609" t="str">
        <f t="shared" si="24"/>
        <v/>
      </c>
      <c r="BG121" s="609" t="str">
        <f t="shared" si="24"/>
        <v/>
      </c>
    </row>
    <row r="122" spans="2:59" x14ac:dyDescent="0.25">
      <c r="B122" s="654">
        <v>116</v>
      </c>
      <c r="C122" s="654"/>
      <c r="D122" s="654"/>
      <c r="E122" s="655"/>
      <c r="F122" s="654"/>
      <c r="H122" s="609" t="str">
        <f t="shared" si="14"/>
        <v/>
      </c>
      <c r="I122" s="609" t="str">
        <f t="shared" si="24"/>
        <v/>
      </c>
      <c r="J122" s="609" t="str">
        <f t="shared" si="24"/>
        <v/>
      </c>
      <c r="K122" s="609" t="str">
        <f t="shared" si="24"/>
        <v/>
      </c>
      <c r="L122" s="609" t="str">
        <f t="shared" si="24"/>
        <v/>
      </c>
      <c r="M122" s="609" t="str">
        <f t="shared" si="24"/>
        <v/>
      </c>
      <c r="N122" s="609" t="str">
        <f t="shared" si="24"/>
        <v/>
      </c>
      <c r="O122" s="609" t="str">
        <f t="shared" si="24"/>
        <v/>
      </c>
      <c r="P122" s="609" t="str">
        <f t="shared" si="24"/>
        <v/>
      </c>
      <c r="Q122" s="609" t="str">
        <f t="shared" si="24"/>
        <v/>
      </c>
      <c r="R122" s="609" t="str">
        <f t="shared" si="24"/>
        <v/>
      </c>
      <c r="S122" s="609" t="str">
        <f t="shared" si="24"/>
        <v/>
      </c>
      <c r="T122" s="609" t="str">
        <f t="shared" si="24"/>
        <v/>
      </c>
      <c r="U122" s="609" t="str">
        <f t="shared" si="24"/>
        <v/>
      </c>
      <c r="V122" s="609" t="str">
        <f t="shared" si="24"/>
        <v/>
      </c>
      <c r="W122" s="609" t="str">
        <f t="shared" si="24"/>
        <v/>
      </c>
      <c r="X122" s="609" t="str">
        <f t="shared" si="24"/>
        <v/>
      </c>
      <c r="Y122" s="609" t="str">
        <f t="shared" si="24"/>
        <v/>
      </c>
      <c r="Z122" s="609" t="str">
        <f t="shared" si="24"/>
        <v/>
      </c>
      <c r="AA122" s="609" t="str">
        <f t="shared" si="24"/>
        <v/>
      </c>
      <c r="AB122" s="609" t="str">
        <f t="shared" si="24"/>
        <v/>
      </c>
      <c r="AC122" s="609" t="str">
        <f t="shared" si="24"/>
        <v/>
      </c>
      <c r="AD122" s="609" t="str">
        <f t="shared" si="24"/>
        <v/>
      </c>
      <c r="AE122" s="609" t="str">
        <f t="shared" si="24"/>
        <v/>
      </c>
      <c r="AF122" s="609" t="str">
        <f t="shared" si="24"/>
        <v/>
      </c>
      <c r="AG122" s="609" t="str">
        <f t="shared" si="24"/>
        <v/>
      </c>
      <c r="AH122" s="609" t="str">
        <f t="shared" si="24"/>
        <v/>
      </c>
      <c r="AI122" s="609" t="str">
        <f t="shared" si="24"/>
        <v/>
      </c>
      <c r="AJ122" s="609" t="str">
        <f t="shared" si="24"/>
        <v/>
      </c>
      <c r="AK122" s="609" t="str">
        <f t="shared" si="24"/>
        <v/>
      </c>
      <c r="AL122" s="609" t="str">
        <f t="shared" si="24"/>
        <v/>
      </c>
      <c r="AM122" s="609" t="str">
        <f t="shared" ref="I122:BG127" si="25">IF($D122=AM$6,$B122&amp;", ","")</f>
        <v/>
      </c>
      <c r="AN122" s="609" t="str">
        <f t="shared" si="25"/>
        <v/>
      </c>
      <c r="AO122" s="609" t="str">
        <f t="shared" si="25"/>
        <v/>
      </c>
      <c r="AP122" s="609" t="str">
        <f t="shared" si="25"/>
        <v/>
      </c>
      <c r="AQ122" s="609" t="str">
        <f t="shared" si="25"/>
        <v/>
      </c>
      <c r="AR122" s="609" t="str">
        <f t="shared" si="25"/>
        <v/>
      </c>
      <c r="AS122" s="609" t="str">
        <f t="shared" si="25"/>
        <v/>
      </c>
      <c r="AT122" s="609" t="str">
        <f t="shared" si="25"/>
        <v/>
      </c>
      <c r="AU122" s="609" t="str">
        <f t="shared" si="25"/>
        <v/>
      </c>
      <c r="AV122" s="609" t="str">
        <f t="shared" si="25"/>
        <v/>
      </c>
      <c r="AW122" s="609" t="str">
        <f t="shared" si="25"/>
        <v/>
      </c>
      <c r="AX122" s="609" t="str">
        <f t="shared" si="25"/>
        <v/>
      </c>
      <c r="AY122" s="609" t="str">
        <f t="shared" si="25"/>
        <v/>
      </c>
      <c r="AZ122" s="609" t="str">
        <f t="shared" si="25"/>
        <v/>
      </c>
      <c r="BA122" s="609" t="str">
        <f t="shared" si="25"/>
        <v/>
      </c>
      <c r="BB122" s="609" t="str">
        <f t="shared" si="25"/>
        <v/>
      </c>
      <c r="BC122" s="609" t="str">
        <f t="shared" si="25"/>
        <v/>
      </c>
      <c r="BD122" s="609" t="str">
        <f t="shared" si="25"/>
        <v/>
      </c>
      <c r="BE122" s="609" t="str">
        <f t="shared" si="25"/>
        <v/>
      </c>
      <c r="BF122" s="609" t="str">
        <f t="shared" si="25"/>
        <v/>
      </c>
      <c r="BG122" s="609" t="str">
        <f t="shared" si="25"/>
        <v/>
      </c>
    </row>
    <row r="123" spans="2:59" x14ac:dyDescent="0.25">
      <c r="B123" s="654">
        <v>117</v>
      </c>
      <c r="C123" s="654"/>
      <c r="D123" s="654"/>
      <c r="E123" s="655"/>
      <c r="F123" s="654"/>
      <c r="H123" s="609" t="str">
        <f t="shared" si="14"/>
        <v/>
      </c>
      <c r="I123" s="609" t="str">
        <f t="shared" si="25"/>
        <v/>
      </c>
      <c r="J123" s="609" t="str">
        <f t="shared" si="25"/>
        <v/>
      </c>
      <c r="K123" s="609" t="str">
        <f t="shared" si="25"/>
        <v/>
      </c>
      <c r="L123" s="609" t="str">
        <f t="shared" si="25"/>
        <v/>
      </c>
      <c r="M123" s="609" t="str">
        <f t="shared" si="25"/>
        <v/>
      </c>
      <c r="N123" s="609" t="str">
        <f t="shared" si="25"/>
        <v/>
      </c>
      <c r="O123" s="609" t="str">
        <f t="shared" si="25"/>
        <v/>
      </c>
      <c r="P123" s="609" t="str">
        <f t="shared" si="25"/>
        <v/>
      </c>
      <c r="Q123" s="609" t="str">
        <f t="shared" si="25"/>
        <v/>
      </c>
      <c r="R123" s="609" t="str">
        <f t="shared" si="25"/>
        <v/>
      </c>
      <c r="S123" s="609" t="str">
        <f t="shared" si="25"/>
        <v/>
      </c>
      <c r="T123" s="609" t="str">
        <f t="shared" si="25"/>
        <v/>
      </c>
      <c r="U123" s="609" t="str">
        <f t="shared" si="25"/>
        <v/>
      </c>
      <c r="V123" s="609" t="str">
        <f t="shared" si="25"/>
        <v/>
      </c>
      <c r="W123" s="609" t="str">
        <f t="shared" si="25"/>
        <v/>
      </c>
      <c r="X123" s="609" t="str">
        <f t="shared" si="25"/>
        <v/>
      </c>
      <c r="Y123" s="609" t="str">
        <f t="shared" si="25"/>
        <v/>
      </c>
      <c r="Z123" s="609" t="str">
        <f t="shared" si="25"/>
        <v/>
      </c>
      <c r="AA123" s="609" t="str">
        <f t="shared" si="25"/>
        <v/>
      </c>
      <c r="AB123" s="609" t="str">
        <f t="shared" si="25"/>
        <v/>
      </c>
      <c r="AC123" s="609" t="str">
        <f t="shared" si="25"/>
        <v/>
      </c>
      <c r="AD123" s="609" t="str">
        <f t="shared" si="25"/>
        <v/>
      </c>
      <c r="AE123" s="609" t="str">
        <f t="shared" si="25"/>
        <v/>
      </c>
      <c r="AF123" s="609" t="str">
        <f t="shared" si="25"/>
        <v/>
      </c>
      <c r="AG123" s="609" t="str">
        <f t="shared" si="25"/>
        <v/>
      </c>
      <c r="AH123" s="609" t="str">
        <f t="shared" si="25"/>
        <v/>
      </c>
      <c r="AI123" s="609" t="str">
        <f t="shared" si="25"/>
        <v/>
      </c>
      <c r="AJ123" s="609" t="str">
        <f t="shared" si="25"/>
        <v/>
      </c>
      <c r="AK123" s="609" t="str">
        <f t="shared" si="25"/>
        <v/>
      </c>
      <c r="AL123" s="609" t="str">
        <f t="shared" si="25"/>
        <v/>
      </c>
      <c r="AM123" s="609" t="str">
        <f t="shared" si="25"/>
        <v/>
      </c>
      <c r="AN123" s="609" t="str">
        <f t="shared" si="25"/>
        <v/>
      </c>
      <c r="AO123" s="609" t="str">
        <f t="shared" si="25"/>
        <v/>
      </c>
      <c r="AP123" s="609" t="str">
        <f t="shared" si="25"/>
        <v/>
      </c>
      <c r="AQ123" s="609" t="str">
        <f t="shared" si="25"/>
        <v/>
      </c>
      <c r="AR123" s="609" t="str">
        <f t="shared" si="25"/>
        <v/>
      </c>
      <c r="AS123" s="609" t="str">
        <f t="shared" si="25"/>
        <v/>
      </c>
      <c r="AT123" s="609" t="str">
        <f t="shared" si="25"/>
        <v/>
      </c>
      <c r="AU123" s="609" t="str">
        <f t="shared" si="25"/>
        <v/>
      </c>
      <c r="AV123" s="609" t="str">
        <f t="shared" si="25"/>
        <v/>
      </c>
      <c r="AW123" s="609" t="str">
        <f t="shared" si="25"/>
        <v/>
      </c>
      <c r="AX123" s="609" t="str">
        <f t="shared" si="25"/>
        <v/>
      </c>
      <c r="AY123" s="609" t="str">
        <f t="shared" si="25"/>
        <v/>
      </c>
      <c r="AZ123" s="609" t="str">
        <f t="shared" si="25"/>
        <v/>
      </c>
      <c r="BA123" s="609" t="str">
        <f t="shared" si="25"/>
        <v/>
      </c>
      <c r="BB123" s="609" t="str">
        <f t="shared" si="25"/>
        <v/>
      </c>
      <c r="BC123" s="609" t="str">
        <f t="shared" si="25"/>
        <v/>
      </c>
      <c r="BD123" s="609" t="str">
        <f t="shared" si="25"/>
        <v/>
      </c>
      <c r="BE123" s="609" t="str">
        <f t="shared" si="25"/>
        <v/>
      </c>
      <c r="BF123" s="609" t="str">
        <f t="shared" si="25"/>
        <v/>
      </c>
      <c r="BG123" s="609" t="str">
        <f t="shared" si="25"/>
        <v/>
      </c>
    </row>
    <row r="124" spans="2:59" x14ac:dyDescent="0.25">
      <c r="B124" s="654">
        <v>118</v>
      </c>
      <c r="C124" s="654"/>
      <c r="D124" s="654"/>
      <c r="E124" s="655"/>
      <c r="F124" s="654"/>
      <c r="H124" s="609" t="str">
        <f t="shared" si="14"/>
        <v/>
      </c>
      <c r="I124" s="609" t="str">
        <f t="shared" si="25"/>
        <v/>
      </c>
      <c r="J124" s="609" t="str">
        <f t="shared" si="25"/>
        <v/>
      </c>
      <c r="K124" s="609" t="str">
        <f t="shared" si="25"/>
        <v/>
      </c>
      <c r="L124" s="609" t="str">
        <f t="shared" si="25"/>
        <v/>
      </c>
      <c r="M124" s="609" t="str">
        <f t="shared" si="25"/>
        <v/>
      </c>
      <c r="N124" s="609" t="str">
        <f t="shared" si="25"/>
        <v/>
      </c>
      <c r="O124" s="609" t="str">
        <f t="shared" si="25"/>
        <v/>
      </c>
      <c r="P124" s="609" t="str">
        <f t="shared" si="25"/>
        <v/>
      </c>
      <c r="Q124" s="609" t="str">
        <f t="shared" si="25"/>
        <v/>
      </c>
      <c r="R124" s="609" t="str">
        <f t="shared" si="25"/>
        <v/>
      </c>
      <c r="S124" s="609" t="str">
        <f t="shared" si="25"/>
        <v/>
      </c>
      <c r="T124" s="609" t="str">
        <f t="shared" si="25"/>
        <v/>
      </c>
      <c r="U124" s="609" t="str">
        <f t="shared" si="25"/>
        <v/>
      </c>
      <c r="V124" s="609" t="str">
        <f t="shared" si="25"/>
        <v/>
      </c>
      <c r="W124" s="609" t="str">
        <f t="shared" si="25"/>
        <v/>
      </c>
      <c r="X124" s="609" t="str">
        <f t="shared" si="25"/>
        <v/>
      </c>
      <c r="Y124" s="609" t="str">
        <f t="shared" si="25"/>
        <v/>
      </c>
      <c r="Z124" s="609" t="str">
        <f t="shared" si="25"/>
        <v/>
      </c>
      <c r="AA124" s="609" t="str">
        <f t="shared" si="25"/>
        <v/>
      </c>
      <c r="AB124" s="609" t="str">
        <f t="shared" si="25"/>
        <v/>
      </c>
      <c r="AC124" s="609" t="str">
        <f t="shared" si="25"/>
        <v/>
      </c>
      <c r="AD124" s="609" t="str">
        <f t="shared" si="25"/>
        <v/>
      </c>
      <c r="AE124" s="609" t="str">
        <f t="shared" si="25"/>
        <v/>
      </c>
      <c r="AF124" s="609" t="str">
        <f t="shared" si="25"/>
        <v/>
      </c>
      <c r="AG124" s="609" t="str">
        <f t="shared" si="25"/>
        <v/>
      </c>
      <c r="AH124" s="609" t="str">
        <f t="shared" si="25"/>
        <v/>
      </c>
      <c r="AI124" s="609" t="str">
        <f t="shared" si="25"/>
        <v/>
      </c>
      <c r="AJ124" s="609" t="str">
        <f t="shared" si="25"/>
        <v/>
      </c>
      <c r="AK124" s="609" t="str">
        <f t="shared" si="25"/>
        <v/>
      </c>
      <c r="AL124" s="609" t="str">
        <f t="shared" si="25"/>
        <v/>
      </c>
      <c r="AM124" s="609" t="str">
        <f t="shared" si="25"/>
        <v/>
      </c>
      <c r="AN124" s="609" t="str">
        <f t="shared" si="25"/>
        <v/>
      </c>
      <c r="AO124" s="609" t="str">
        <f t="shared" si="25"/>
        <v/>
      </c>
      <c r="AP124" s="609" t="str">
        <f t="shared" si="25"/>
        <v/>
      </c>
      <c r="AQ124" s="609" t="str">
        <f t="shared" si="25"/>
        <v/>
      </c>
      <c r="AR124" s="609" t="str">
        <f t="shared" si="25"/>
        <v/>
      </c>
      <c r="AS124" s="609" t="str">
        <f t="shared" si="25"/>
        <v/>
      </c>
      <c r="AT124" s="609" t="str">
        <f t="shared" si="25"/>
        <v/>
      </c>
      <c r="AU124" s="609" t="str">
        <f t="shared" si="25"/>
        <v/>
      </c>
      <c r="AV124" s="609" t="str">
        <f t="shared" si="25"/>
        <v/>
      </c>
      <c r="AW124" s="609" t="str">
        <f t="shared" si="25"/>
        <v/>
      </c>
      <c r="AX124" s="609" t="str">
        <f t="shared" si="25"/>
        <v/>
      </c>
      <c r="AY124" s="609" t="str">
        <f t="shared" si="25"/>
        <v/>
      </c>
      <c r="AZ124" s="609" t="str">
        <f t="shared" si="25"/>
        <v/>
      </c>
      <c r="BA124" s="609" t="str">
        <f t="shared" si="25"/>
        <v/>
      </c>
      <c r="BB124" s="609" t="str">
        <f t="shared" si="25"/>
        <v/>
      </c>
      <c r="BC124" s="609" t="str">
        <f t="shared" si="25"/>
        <v/>
      </c>
      <c r="BD124" s="609" t="str">
        <f t="shared" si="25"/>
        <v/>
      </c>
      <c r="BE124" s="609" t="str">
        <f t="shared" si="25"/>
        <v/>
      </c>
      <c r="BF124" s="609" t="str">
        <f t="shared" si="25"/>
        <v/>
      </c>
      <c r="BG124" s="609" t="str">
        <f t="shared" si="25"/>
        <v/>
      </c>
    </row>
    <row r="125" spans="2:59" x14ac:dyDescent="0.25">
      <c r="B125" s="654">
        <v>119</v>
      </c>
      <c r="C125" s="654"/>
      <c r="D125" s="654"/>
      <c r="E125" s="655"/>
      <c r="F125" s="654"/>
      <c r="H125" s="609" t="str">
        <f t="shared" si="14"/>
        <v/>
      </c>
      <c r="I125" s="609" t="str">
        <f t="shared" si="25"/>
        <v/>
      </c>
      <c r="J125" s="609" t="str">
        <f t="shared" si="25"/>
        <v/>
      </c>
      <c r="K125" s="609" t="str">
        <f t="shared" si="25"/>
        <v/>
      </c>
      <c r="L125" s="609" t="str">
        <f t="shared" si="25"/>
        <v/>
      </c>
      <c r="M125" s="609" t="str">
        <f t="shared" si="25"/>
        <v/>
      </c>
      <c r="N125" s="609" t="str">
        <f t="shared" si="25"/>
        <v/>
      </c>
      <c r="O125" s="609" t="str">
        <f t="shared" si="25"/>
        <v/>
      </c>
      <c r="P125" s="609" t="str">
        <f t="shared" si="25"/>
        <v/>
      </c>
      <c r="Q125" s="609" t="str">
        <f t="shared" si="25"/>
        <v/>
      </c>
      <c r="R125" s="609" t="str">
        <f t="shared" si="25"/>
        <v/>
      </c>
      <c r="S125" s="609" t="str">
        <f t="shared" si="25"/>
        <v/>
      </c>
      <c r="T125" s="609" t="str">
        <f t="shared" si="25"/>
        <v/>
      </c>
      <c r="U125" s="609" t="str">
        <f t="shared" si="25"/>
        <v/>
      </c>
      <c r="V125" s="609" t="str">
        <f t="shared" si="25"/>
        <v/>
      </c>
      <c r="W125" s="609" t="str">
        <f t="shared" si="25"/>
        <v/>
      </c>
      <c r="X125" s="609" t="str">
        <f t="shared" si="25"/>
        <v/>
      </c>
      <c r="Y125" s="609" t="str">
        <f t="shared" si="25"/>
        <v/>
      </c>
      <c r="Z125" s="609" t="str">
        <f t="shared" si="25"/>
        <v/>
      </c>
      <c r="AA125" s="609" t="str">
        <f t="shared" si="25"/>
        <v/>
      </c>
      <c r="AB125" s="609" t="str">
        <f t="shared" si="25"/>
        <v/>
      </c>
      <c r="AC125" s="609" t="str">
        <f t="shared" si="25"/>
        <v/>
      </c>
      <c r="AD125" s="609" t="str">
        <f t="shared" si="25"/>
        <v/>
      </c>
      <c r="AE125" s="609" t="str">
        <f t="shared" si="25"/>
        <v/>
      </c>
      <c r="AF125" s="609" t="str">
        <f t="shared" si="25"/>
        <v/>
      </c>
      <c r="AG125" s="609" t="str">
        <f t="shared" si="25"/>
        <v/>
      </c>
      <c r="AH125" s="609" t="str">
        <f t="shared" si="25"/>
        <v/>
      </c>
      <c r="AI125" s="609" t="str">
        <f t="shared" si="25"/>
        <v/>
      </c>
      <c r="AJ125" s="609" t="str">
        <f t="shared" si="25"/>
        <v/>
      </c>
      <c r="AK125" s="609" t="str">
        <f t="shared" si="25"/>
        <v/>
      </c>
      <c r="AL125" s="609" t="str">
        <f t="shared" si="25"/>
        <v/>
      </c>
      <c r="AM125" s="609" t="str">
        <f t="shared" si="25"/>
        <v/>
      </c>
      <c r="AN125" s="609" t="str">
        <f t="shared" si="25"/>
        <v/>
      </c>
      <c r="AO125" s="609" t="str">
        <f t="shared" si="25"/>
        <v/>
      </c>
      <c r="AP125" s="609" t="str">
        <f t="shared" si="25"/>
        <v/>
      </c>
      <c r="AQ125" s="609" t="str">
        <f t="shared" si="25"/>
        <v/>
      </c>
      <c r="AR125" s="609" t="str">
        <f t="shared" si="25"/>
        <v/>
      </c>
      <c r="AS125" s="609" t="str">
        <f t="shared" si="25"/>
        <v/>
      </c>
      <c r="AT125" s="609" t="str">
        <f t="shared" si="25"/>
        <v/>
      </c>
      <c r="AU125" s="609" t="str">
        <f t="shared" si="25"/>
        <v/>
      </c>
      <c r="AV125" s="609" t="str">
        <f t="shared" si="25"/>
        <v/>
      </c>
      <c r="AW125" s="609" t="str">
        <f t="shared" si="25"/>
        <v/>
      </c>
      <c r="AX125" s="609" t="str">
        <f t="shared" si="25"/>
        <v/>
      </c>
      <c r="AY125" s="609" t="str">
        <f t="shared" si="25"/>
        <v/>
      </c>
      <c r="AZ125" s="609" t="str">
        <f t="shared" si="25"/>
        <v/>
      </c>
      <c r="BA125" s="609" t="str">
        <f t="shared" si="25"/>
        <v/>
      </c>
      <c r="BB125" s="609" t="str">
        <f t="shared" si="25"/>
        <v/>
      </c>
      <c r="BC125" s="609" t="str">
        <f t="shared" si="25"/>
        <v/>
      </c>
      <c r="BD125" s="609" t="str">
        <f t="shared" si="25"/>
        <v/>
      </c>
      <c r="BE125" s="609" t="str">
        <f t="shared" si="25"/>
        <v/>
      </c>
      <c r="BF125" s="609" t="str">
        <f t="shared" si="25"/>
        <v/>
      </c>
      <c r="BG125" s="609" t="str">
        <f t="shared" si="25"/>
        <v/>
      </c>
    </row>
    <row r="126" spans="2:59" x14ac:dyDescent="0.25">
      <c r="B126" s="654">
        <v>120</v>
      </c>
      <c r="C126" s="654"/>
      <c r="D126" s="654"/>
      <c r="E126" s="655"/>
      <c r="F126" s="654"/>
      <c r="H126" s="609" t="str">
        <f t="shared" si="14"/>
        <v/>
      </c>
      <c r="I126" s="609" t="str">
        <f t="shared" si="25"/>
        <v/>
      </c>
      <c r="J126" s="609" t="str">
        <f t="shared" si="25"/>
        <v/>
      </c>
      <c r="K126" s="609" t="str">
        <f t="shared" si="25"/>
        <v/>
      </c>
      <c r="L126" s="609" t="str">
        <f t="shared" si="25"/>
        <v/>
      </c>
      <c r="M126" s="609" t="str">
        <f t="shared" si="25"/>
        <v/>
      </c>
      <c r="N126" s="609" t="str">
        <f t="shared" si="25"/>
        <v/>
      </c>
      <c r="O126" s="609" t="str">
        <f t="shared" si="25"/>
        <v/>
      </c>
      <c r="P126" s="609" t="str">
        <f t="shared" si="25"/>
        <v/>
      </c>
      <c r="Q126" s="609" t="str">
        <f t="shared" si="25"/>
        <v/>
      </c>
      <c r="R126" s="609" t="str">
        <f t="shared" si="25"/>
        <v/>
      </c>
      <c r="S126" s="609" t="str">
        <f t="shared" si="25"/>
        <v/>
      </c>
      <c r="T126" s="609" t="str">
        <f t="shared" si="25"/>
        <v/>
      </c>
      <c r="U126" s="609" t="str">
        <f t="shared" si="25"/>
        <v/>
      </c>
      <c r="V126" s="609" t="str">
        <f t="shared" si="25"/>
        <v/>
      </c>
      <c r="W126" s="609" t="str">
        <f t="shared" si="25"/>
        <v/>
      </c>
      <c r="X126" s="609" t="str">
        <f t="shared" si="25"/>
        <v/>
      </c>
      <c r="Y126" s="609" t="str">
        <f t="shared" si="25"/>
        <v/>
      </c>
      <c r="Z126" s="609" t="str">
        <f t="shared" si="25"/>
        <v/>
      </c>
      <c r="AA126" s="609" t="str">
        <f t="shared" si="25"/>
        <v/>
      </c>
      <c r="AB126" s="609" t="str">
        <f t="shared" si="25"/>
        <v/>
      </c>
      <c r="AC126" s="609" t="str">
        <f t="shared" si="25"/>
        <v/>
      </c>
      <c r="AD126" s="609" t="str">
        <f t="shared" si="25"/>
        <v/>
      </c>
      <c r="AE126" s="609" t="str">
        <f t="shared" si="25"/>
        <v/>
      </c>
      <c r="AF126" s="609" t="str">
        <f t="shared" si="25"/>
        <v/>
      </c>
      <c r="AG126" s="609" t="str">
        <f t="shared" si="25"/>
        <v/>
      </c>
      <c r="AH126" s="609" t="str">
        <f t="shared" si="25"/>
        <v/>
      </c>
      <c r="AI126" s="609" t="str">
        <f t="shared" si="25"/>
        <v/>
      </c>
      <c r="AJ126" s="609" t="str">
        <f t="shared" si="25"/>
        <v/>
      </c>
      <c r="AK126" s="609" t="str">
        <f t="shared" si="25"/>
        <v/>
      </c>
      <c r="AL126" s="609" t="str">
        <f t="shared" si="25"/>
        <v/>
      </c>
      <c r="AM126" s="609" t="str">
        <f t="shared" si="25"/>
        <v/>
      </c>
      <c r="AN126" s="609" t="str">
        <f t="shared" si="25"/>
        <v/>
      </c>
      <c r="AO126" s="609" t="str">
        <f t="shared" si="25"/>
        <v/>
      </c>
      <c r="AP126" s="609" t="str">
        <f t="shared" si="25"/>
        <v/>
      </c>
      <c r="AQ126" s="609" t="str">
        <f t="shared" si="25"/>
        <v/>
      </c>
      <c r="AR126" s="609" t="str">
        <f t="shared" si="25"/>
        <v/>
      </c>
      <c r="AS126" s="609" t="str">
        <f t="shared" si="25"/>
        <v/>
      </c>
      <c r="AT126" s="609" t="str">
        <f t="shared" si="25"/>
        <v/>
      </c>
      <c r="AU126" s="609" t="str">
        <f t="shared" si="25"/>
        <v/>
      </c>
      <c r="AV126" s="609" t="str">
        <f t="shared" si="25"/>
        <v/>
      </c>
      <c r="AW126" s="609" t="str">
        <f t="shared" si="25"/>
        <v/>
      </c>
      <c r="AX126" s="609" t="str">
        <f t="shared" si="25"/>
        <v/>
      </c>
      <c r="AY126" s="609" t="str">
        <f t="shared" si="25"/>
        <v/>
      </c>
      <c r="AZ126" s="609" t="str">
        <f t="shared" si="25"/>
        <v/>
      </c>
      <c r="BA126" s="609" t="str">
        <f t="shared" si="25"/>
        <v/>
      </c>
      <c r="BB126" s="609" t="str">
        <f t="shared" si="25"/>
        <v/>
      </c>
      <c r="BC126" s="609" t="str">
        <f t="shared" si="25"/>
        <v/>
      </c>
      <c r="BD126" s="609" t="str">
        <f t="shared" si="25"/>
        <v/>
      </c>
      <c r="BE126" s="609" t="str">
        <f t="shared" si="25"/>
        <v/>
      </c>
      <c r="BF126" s="609" t="str">
        <f t="shared" si="25"/>
        <v/>
      </c>
      <c r="BG126" s="609" t="str">
        <f t="shared" si="25"/>
        <v/>
      </c>
    </row>
    <row r="127" spans="2:59" x14ac:dyDescent="0.25">
      <c r="B127" s="654">
        <v>121</v>
      </c>
      <c r="C127" s="654"/>
      <c r="D127" s="654"/>
      <c r="E127" s="655"/>
      <c r="F127" s="654"/>
      <c r="H127" s="609" t="str">
        <f t="shared" si="14"/>
        <v/>
      </c>
      <c r="I127" s="609" t="str">
        <f t="shared" si="25"/>
        <v/>
      </c>
      <c r="J127" s="609" t="str">
        <f t="shared" si="25"/>
        <v/>
      </c>
      <c r="K127" s="609" t="str">
        <f t="shared" si="25"/>
        <v/>
      </c>
      <c r="L127" s="609" t="str">
        <f t="shared" si="25"/>
        <v/>
      </c>
      <c r="M127" s="609" t="str">
        <f t="shared" si="25"/>
        <v/>
      </c>
      <c r="N127" s="609" t="str">
        <f t="shared" si="25"/>
        <v/>
      </c>
      <c r="O127" s="609" t="str">
        <f t="shared" si="25"/>
        <v/>
      </c>
      <c r="P127" s="609" t="str">
        <f t="shared" si="25"/>
        <v/>
      </c>
      <c r="Q127" s="609" t="str">
        <f t="shared" si="25"/>
        <v/>
      </c>
      <c r="R127" s="609" t="str">
        <f t="shared" si="25"/>
        <v/>
      </c>
      <c r="S127" s="609" t="str">
        <f t="shared" si="25"/>
        <v/>
      </c>
      <c r="T127" s="609" t="str">
        <f t="shared" si="25"/>
        <v/>
      </c>
      <c r="U127" s="609" t="str">
        <f t="shared" si="25"/>
        <v/>
      </c>
      <c r="V127" s="609" t="str">
        <f t="shared" si="25"/>
        <v/>
      </c>
      <c r="W127" s="609" t="str">
        <f t="shared" si="25"/>
        <v/>
      </c>
      <c r="X127" s="609" t="str">
        <f t="shared" si="25"/>
        <v/>
      </c>
      <c r="Y127" s="609" t="str">
        <f t="shared" si="25"/>
        <v/>
      </c>
      <c r="Z127" s="609" t="str">
        <f t="shared" si="25"/>
        <v/>
      </c>
      <c r="AA127" s="609" t="str">
        <f t="shared" si="25"/>
        <v/>
      </c>
      <c r="AB127" s="609" t="str">
        <f t="shared" si="25"/>
        <v/>
      </c>
      <c r="AC127" s="609" t="str">
        <f t="shared" si="25"/>
        <v/>
      </c>
      <c r="AD127" s="609" t="str">
        <f t="shared" si="25"/>
        <v/>
      </c>
      <c r="AE127" s="609" t="str">
        <f t="shared" si="25"/>
        <v/>
      </c>
      <c r="AF127" s="609" t="str">
        <f t="shared" si="25"/>
        <v/>
      </c>
      <c r="AG127" s="609" t="str">
        <f t="shared" si="25"/>
        <v/>
      </c>
      <c r="AH127" s="609" t="str">
        <f t="shared" si="25"/>
        <v/>
      </c>
      <c r="AI127" s="609" t="str">
        <f t="shared" si="25"/>
        <v/>
      </c>
      <c r="AJ127" s="609" t="str">
        <f t="shared" si="25"/>
        <v/>
      </c>
      <c r="AK127" s="609" t="str">
        <f t="shared" si="25"/>
        <v/>
      </c>
      <c r="AL127" s="609" t="str">
        <f t="shared" si="25"/>
        <v/>
      </c>
      <c r="AM127" s="609" t="str">
        <f t="shared" ref="I127:BG132" si="26">IF($D127=AM$6,$B127&amp;", ","")</f>
        <v/>
      </c>
      <c r="AN127" s="609" t="str">
        <f t="shared" si="26"/>
        <v/>
      </c>
      <c r="AO127" s="609" t="str">
        <f t="shared" si="26"/>
        <v/>
      </c>
      <c r="AP127" s="609" t="str">
        <f t="shared" si="26"/>
        <v/>
      </c>
      <c r="AQ127" s="609" t="str">
        <f t="shared" si="26"/>
        <v/>
      </c>
      <c r="AR127" s="609" t="str">
        <f t="shared" si="26"/>
        <v/>
      </c>
      <c r="AS127" s="609" t="str">
        <f t="shared" si="26"/>
        <v/>
      </c>
      <c r="AT127" s="609" t="str">
        <f t="shared" si="26"/>
        <v/>
      </c>
      <c r="AU127" s="609" t="str">
        <f t="shared" si="26"/>
        <v/>
      </c>
      <c r="AV127" s="609" t="str">
        <f t="shared" si="26"/>
        <v/>
      </c>
      <c r="AW127" s="609" t="str">
        <f t="shared" si="26"/>
        <v/>
      </c>
      <c r="AX127" s="609" t="str">
        <f t="shared" si="26"/>
        <v/>
      </c>
      <c r="AY127" s="609" t="str">
        <f t="shared" si="26"/>
        <v/>
      </c>
      <c r="AZ127" s="609" t="str">
        <f t="shared" si="26"/>
        <v/>
      </c>
      <c r="BA127" s="609" t="str">
        <f t="shared" si="26"/>
        <v/>
      </c>
      <c r="BB127" s="609" t="str">
        <f t="shared" si="26"/>
        <v/>
      </c>
      <c r="BC127" s="609" t="str">
        <f t="shared" si="26"/>
        <v/>
      </c>
      <c r="BD127" s="609" t="str">
        <f t="shared" si="26"/>
        <v/>
      </c>
      <c r="BE127" s="609" t="str">
        <f t="shared" si="26"/>
        <v/>
      </c>
      <c r="BF127" s="609" t="str">
        <f t="shared" si="26"/>
        <v/>
      </c>
      <c r="BG127" s="609" t="str">
        <f t="shared" si="26"/>
        <v/>
      </c>
    </row>
    <row r="128" spans="2:59" x14ac:dyDescent="0.25">
      <c r="B128" s="654">
        <v>122</v>
      </c>
      <c r="C128" s="654"/>
      <c r="D128" s="654"/>
      <c r="E128" s="655"/>
      <c r="F128" s="654"/>
      <c r="H128" s="609" t="str">
        <f t="shared" si="14"/>
        <v/>
      </c>
      <c r="I128" s="609" t="str">
        <f t="shared" si="26"/>
        <v/>
      </c>
      <c r="J128" s="609" t="str">
        <f t="shared" si="26"/>
        <v/>
      </c>
      <c r="K128" s="609" t="str">
        <f t="shared" si="26"/>
        <v/>
      </c>
      <c r="L128" s="609" t="str">
        <f t="shared" si="26"/>
        <v/>
      </c>
      <c r="M128" s="609" t="str">
        <f t="shared" si="26"/>
        <v/>
      </c>
      <c r="N128" s="609" t="str">
        <f t="shared" si="26"/>
        <v/>
      </c>
      <c r="O128" s="609" t="str">
        <f t="shared" si="26"/>
        <v/>
      </c>
      <c r="P128" s="609" t="str">
        <f t="shared" si="26"/>
        <v/>
      </c>
      <c r="Q128" s="609" t="str">
        <f t="shared" si="26"/>
        <v/>
      </c>
      <c r="R128" s="609" t="str">
        <f t="shared" si="26"/>
        <v/>
      </c>
      <c r="S128" s="609" t="str">
        <f t="shared" si="26"/>
        <v/>
      </c>
      <c r="T128" s="609" t="str">
        <f t="shared" si="26"/>
        <v/>
      </c>
      <c r="U128" s="609" t="str">
        <f t="shared" si="26"/>
        <v/>
      </c>
      <c r="V128" s="609" t="str">
        <f t="shared" si="26"/>
        <v/>
      </c>
      <c r="W128" s="609" t="str">
        <f t="shared" si="26"/>
        <v/>
      </c>
      <c r="X128" s="609" t="str">
        <f t="shared" si="26"/>
        <v/>
      </c>
      <c r="Y128" s="609" t="str">
        <f t="shared" si="26"/>
        <v/>
      </c>
      <c r="Z128" s="609" t="str">
        <f t="shared" si="26"/>
        <v/>
      </c>
      <c r="AA128" s="609" t="str">
        <f t="shared" si="26"/>
        <v/>
      </c>
      <c r="AB128" s="609" t="str">
        <f t="shared" si="26"/>
        <v/>
      </c>
      <c r="AC128" s="609" t="str">
        <f t="shared" si="26"/>
        <v/>
      </c>
      <c r="AD128" s="609" t="str">
        <f t="shared" si="26"/>
        <v/>
      </c>
      <c r="AE128" s="609" t="str">
        <f t="shared" si="26"/>
        <v/>
      </c>
      <c r="AF128" s="609" t="str">
        <f t="shared" si="26"/>
        <v/>
      </c>
      <c r="AG128" s="609" t="str">
        <f t="shared" si="26"/>
        <v/>
      </c>
      <c r="AH128" s="609" t="str">
        <f t="shared" si="26"/>
        <v/>
      </c>
      <c r="AI128" s="609" t="str">
        <f t="shared" si="26"/>
        <v/>
      </c>
      <c r="AJ128" s="609" t="str">
        <f t="shared" si="26"/>
        <v/>
      </c>
      <c r="AK128" s="609" t="str">
        <f t="shared" si="26"/>
        <v/>
      </c>
      <c r="AL128" s="609" t="str">
        <f t="shared" si="26"/>
        <v/>
      </c>
      <c r="AM128" s="609" t="str">
        <f t="shared" si="26"/>
        <v/>
      </c>
      <c r="AN128" s="609" t="str">
        <f t="shared" si="26"/>
        <v/>
      </c>
      <c r="AO128" s="609" t="str">
        <f t="shared" si="26"/>
        <v/>
      </c>
      <c r="AP128" s="609" t="str">
        <f t="shared" si="26"/>
        <v/>
      </c>
      <c r="AQ128" s="609" t="str">
        <f t="shared" si="26"/>
        <v/>
      </c>
      <c r="AR128" s="609" t="str">
        <f t="shared" si="26"/>
        <v/>
      </c>
      <c r="AS128" s="609" t="str">
        <f t="shared" si="26"/>
        <v/>
      </c>
      <c r="AT128" s="609" t="str">
        <f t="shared" si="26"/>
        <v/>
      </c>
      <c r="AU128" s="609" t="str">
        <f t="shared" si="26"/>
        <v/>
      </c>
      <c r="AV128" s="609" t="str">
        <f t="shared" si="26"/>
        <v/>
      </c>
      <c r="AW128" s="609" t="str">
        <f t="shared" si="26"/>
        <v/>
      </c>
      <c r="AX128" s="609" t="str">
        <f t="shared" si="26"/>
        <v/>
      </c>
      <c r="AY128" s="609" t="str">
        <f t="shared" si="26"/>
        <v/>
      </c>
      <c r="AZ128" s="609" t="str">
        <f t="shared" si="26"/>
        <v/>
      </c>
      <c r="BA128" s="609" t="str">
        <f t="shared" si="26"/>
        <v/>
      </c>
      <c r="BB128" s="609" t="str">
        <f t="shared" si="26"/>
        <v/>
      </c>
      <c r="BC128" s="609" t="str">
        <f t="shared" si="26"/>
        <v/>
      </c>
      <c r="BD128" s="609" t="str">
        <f t="shared" si="26"/>
        <v/>
      </c>
      <c r="BE128" s="609" t="str">
        <f t="shared" si="26"/>
        <v/>
      </c>
      <c r="BF128" s="609" t="str">
        <f t="shared" si="26"/>
        <v/>
      </c>
      <c r="BG128" s="609" t="str">
        <f t="shared" si="26"/>
        <v/>
      </c>
    </row>
    <row r="129" spans="2:59" x14ac:dyDescent="0.25">
      <c r="B129" s="654">
        <v>123</v>
      </c>
      <c r="C129" s="654"/>
      <c r="D129" s="654"/>
      <c r="E129" s="655"/>
      <c r="F129" s="654"/>
      <c r="H129" s="609" t="str">
        <f t="shared" si="14"/>
        <v/>
      </c>
      <c r="I129" s="609" t="str">
        <f t="shared" si="26"/>
        <v/>
      </c>
      <c r="J129" s="609" t="str">
        <f t="shared" si="26"/>
        <v/>
      </c>
      <c r="K129" s="609" t="str">
        <f t="shared" si="26"/>
        <v/>
      </c>
      <c r="L129" s="609" t="str">
        <f t="shared" si="26"/>
        <v/>
      </c>
      <c r="M129" s="609" t="str">
        <f t="shared" si="26"/>
        <v/>
      </c>
      <c r="N129" s="609" t="str">
        <f t="shared" si="26"/>
        <v/>
      </c>
      <c r="O129" s="609" t="str">
        <f t="shared" si="26"/>
        <v/>
      </c>
      <c r="P129" s="609" t="str">
        <f t="shared" si="26"/>
        <v/>
      </c>
      <c r="Q129" s="609" t="str">
        <f t="shared" si="26"/>
        <v/>
      </c>
      <c r="R129" s="609" t="str">
        <f t="shared" si="26"/>
        <v/>
      </c>
      <c r="S129" s="609" t="str">
        <f t="shared" si="26"/>
        <v/>
      </c>
      <c r="T129" s="609" t="str">
        <f t="shared" si="26"/>
        <v/>
      </c>
      <c r="U129" s="609" t="str">
        <f t="shared" si="26"/>
        <v/>
      </c>
      <c r="V129" s="609" t="str">
        <f t="shared" si="26"/>
        <v/>
      </c>
      <c r="W129" s="609" t="str">
        <f t="shared" si="26"/>
        <v/>
      </c>
      <c r="X129" s="609" t="str">
        <f t="shared" si="26"/>
        <v/>
      </c>
      <c r="Y129" s="609" t="str">
        <f t="shared" si="26"/>
        <v/>
      </c>
      <c r="Z129" s="609" t="str">
        <f t="shared" si="26"/>
        <v/>
      </c>
      <c r="AA129" s="609" t="str">
        <f t="shared" si="26"/>
        <v/>
      </c>
      <c r="AB129" s="609" t="str">
        <f t="shared" si="26"/>
        <v/>
      </c>
      <c r="AC129" s="609" t="str">
        <f t="shared" si="26"/>
        <v/>
      </c>
      <c r="AD129" s="609" t="str">
        <f t="shared" si="26"/>
        <v/>
      </c>
      <c r="AE129" s="609" t="str">
        <f t="shared" si="26"/>
        <v/>
      </c>
      <c r="AF129" s="609" t="str">
        <f t="shared" si="26"/>
        <v/>
      </c>
      <c r="AG129" s="609" t="str">
        <f t="shared" si="26"/>
        <v/>
      </c>
      <c r="AH129" s="609" t="str">
        <f t="shared" si="26"/>
        <v/>
      </c>
      <c r="AI129" s="609" t="str">
        <f t="shared" si="26"/>
        <v/>
      </c>
      <c r="AJ129" s="609" t="str">
        <f t="shared" si="26"/>
        <v/>
      </c>
      <c r="AK129" s="609" t="str">
        <f t="shared" si="26"/>
        <v/>
      </c>
      <c r="AL129" s="609" t="str">
        <f t="shared" si="26"/>
        <v/>
      </c>
      <c r="AM129" s="609" t="str">
        <f t="shared" si="26"/>
        <v/>
      </c>
      <c r="AN129" s="609" t="str">
        <f t="shared" si="26"/>
        <v/>
      </c>
      <c r="AO129" s="609" t="str">
        <f t="shared" si="26"/>
        <v/>
      </c>
      <c r="AP129" s="609" t="str">
        <f t="shared" si="26"/>
        <v/>
      </c>
      <c r="AQ129" s="609" t="str">
        <f t="shared" si="26"/>
        <v/>
      </c>
      <c r="AR129" s="609" t="str">
        <f t="shared" si="26"/>
        <v/>
      </c>
      <c r="AS129" s="609" t="str">
        <f t="shared" si="26"/>
        <v/>
      </c>
      <c r="AT129" s="609" t="str">
        <f t="shared" si="26"/>
        <v/>
      </c>
      <c r="AU129" s="609" t="str">
        <f t="shared" si="26"/>
        <v/>
      </c>
      <c r="AV129" s="609" t="str">
        <f t="shared" si="26"/>
        <v/>
      </c>
      <c r="AW129" s="609" t="str">
        <f t="shared" si="26"/>
        <v/>
      </c>
      <c r="AX129" s="609" t="str">
        <f t="shared" si="26"/>
        <v/>
      </c>
      <c r="AY129" s="609" t="str">
        <f t="shared" si="26"/>
        <v/>
      </c>
      <c r="AZ129" s="609" t="str">
        <f t="shared" si="26"/>
        <v/>
      </c>
      <c r="BA129" s="609" t="str">
        <f t="shared" si="26"/>
        <v/>
      </c>
      <c r="BB129" s="609" t="str">
        <f t="shared" si="26"/>
        <v/>
      </c>
      <c r="BC129" s="609" t="str">
        <f t="shared" si="26"/>
        <v/>
      </c>
      <c r="BD129" s="609" t="str">
        <f t="shared" si="26"/>
        <v/>
      </c>
      <c r="BE129" s="609" t="str">
        <f t="shared" si="26"/>
        <v/>
      </c>
      <c r="BF129" s="609" t="str">
        <f t="shared" si="26"/>
        <v/>
      </c>
      <c r="BG129" s="609" t="str">
        <f t="shared" si="26"/>
        <v/>
      </c>
    </row>
    <row r="130" spans="2:59" x14ac:dyDescent="0.25">
      <c r="B130" s="654">
        <v>124</v>
      </c>
      <c r="C130" s="654"/>
      <c r="D130" s="654"/>
      <c r="E130" s="655"/>
      <c r="F130" s="654"/>
      <c r="H130" s="609" t="str">
        <f t="shared" si="14"/>
        <v/>
      </c>
      <c r="I130" s="609" t="str">
        <f t="shared" si="26"/>
        <v/>
      </c>
      <c r="J130" s="609" t="str">
        <f t="shared" si="26"/>
        <v/>
      </c>
      <c r="K130" s="609" t="str">
        <f t="shared" si="26"/>
        <v/>
      </c>
      <c r="L130" s="609" t="str">
        <f t="shared" si="26"/>
        <v/>
      </c>
      <c r="M130" s="609" t="str">
        <f t="shared" si="26"/>
        <v/>
      </c>
      <c r="N130" s="609" t="str">
        <f t="shared" si="26"/>
        <v/>
      </c>
      <c r="O130" s="609" t="str">
        <f t="shared" si="26"/>
        <v/>
      </c>
      <c r="P130" s="609" t="str">
        <f t="shared" si="26"/>
        <v/>
      </c>
      <c r="Q130" s="609" t="str">
        <f t="shared" si="26"/>
        <v/>
      </c>
      <c r="R130" s="609" t="str">
        <f t="shared" si="26"/>
        <v/>
      </c>
      <c r="S130" s="609" t="str">
        <f t="shared" si="26"/>
        <v/>
      </c>
      <c r="T130" s="609" t="str">
        <f t="shared" si="26"/>
        <v/>
      </c>
      <c r="U130" s="609" t="str">
        <f t="shared" si="26"/>
        <v/>
      </c>
      <c r="V130" s="609" t="str">
        <f t="shared" si="26"/>
        <v/>
      </c>
      <c r="W130" s="609" t="str">
        <f t="shared" si="26"/>
        <v/>
      </c>
      <c r="X130" s="609" t="str">
        <f t="shared" si="26"/>
        <v/>
      </c>
      <c r="Y130" s="609" t="str">
        <f t="shared" si="26"/>
        <v/>
      </c>
      <c r="Z130" s="609" t="str">
        <f t="shared" si="26"/>
        <v/>
      </c>
      <c r="AA130" s="609" t="str">
        <f t="shared" si="26"/>
        <v/>
      </c>
      <c r="AB130" s="609" t="str">
        <f t="shared" si="26"/>
        <v/>
      </c>
      <c r="AC130" s="609" t="str">
        <f t="shared" si="26"/>
        <v/>
      </c>
      <c r="AD130" s="609" t="str">
        <f t="shared" si="26"/>
        <v/>
      </c>
      <c r="AE130" s="609" t="str">
        <f t="shared" si="26"/>
        <v/>
      </c>
      <c r="AF130" s="609" t="str">
        <f t="shared" si="26"/>
        <v/>
      </c>
      <c r="AG130" s="609" t="str">
        <f t="shared" si="26"/>
        <v/>
      </c>
      <c r="AH130" s="609" t="str">
        <f t="shared" si="26"/>
        <v/>
      </c>
      <c r="AI130" s="609" t="str">
        <f t="shared" si="26"/>
        <v/>
      </c>
      <c r="AJ130" s="609" t="str">
        <f t="shared" si="26"/>
        <v/>
      </c>
      <c r="AK130" s="609" t="str">
        <f t="shared" si="26"/>
        <v/>
      </c>
      <c r="AL130" s="609" t="str">
        <f t="shared" si="26"/>
        <v/>
      </c>
      <c r="AM130" s="609" t="str">
        <f t="shared" si="26"/>
        <v/>
      </c>
      <c r="AN130" s="609" t="str">
        <f t="shared" si="26"/>
        <v/>
      </c>
      <c r="AO130" s="609" t="str">
        <f t="shared" si="26"/>
        <v/>
      </c>
      <c r="AP130" s="609" t="str">
        <f t="shared" si="26"/>
        <v/>
      </c>
      <c r="AQ130" s="609" t="str">
        <f t="shared" si="26"/>
        <v/>
      </c>
      <c r="AR130" s="609" t="str">
        <f t="shared" si="26"/>
        <v/>
      </c>
      <c r="AS130" s="609" t="str">
        <f t="shared" si="26"/>
        <v/>
      </c>
      <c r="AT130" s="609" t="str">
        <f t="shared" si="26"/>
        <v/>
      </c>
      <c r="AU130" s="609" t="str">
        <f t="shared" si="26"/>
        <v/>
      </c>
      <c r="AV130" s="609" t="str">
        <f t="shared" si="26"/>
        <v/>
      </c>
      <c r="AW130" s="609" t="str">
        <f t="shared" si="26"/>
        <v/>
      </c>
      <c r="AX130" s="609" t="str">
        <f t="shared" si="26"/>
        <v/>
      </c>
      <c r="AY130" s="609" t="str">
        <f t="shared" si="26"/>
        <v/>
      </c>
      <c r="AZ130" s="609" t="str">
        <f t="shared" si="26"/>
        <v/>
      </c>
      <c r="BA130" s="609" t="str">
        <f t="shared" si="26"/>
        <v/>
      </c>
      <c r="BB130" s="609" t="str">
        <f t="shared" si="26"/>
        <v/>
      </c>
      <c r="BC130" s="609" t="str">
        <f t="shared" si="26"/>
        <v/>
      </c>
      <c r="BD130" s="609" t="str">
        <f t="shared" si="26"/>
        <v/>
      </c>
      <c r="BE130" s="609" t="str">
        <f t="shared" si="26"/>
        <v/>
      </c>
      <c r="BF130" s="609" t="str">
        <f t="shared" si="26"/>
        <v/>
      </c>
      <c r="BG130" s="609" t="str">
        <f t="shared" si="26"/>
        <v/>
      </c>
    </row>
    <row r="131" spans="2:59" x14ac:dyDescent="0.25">
      <c r="B131" s="654">
        <v>125</v>
      </c>
      <c r="C131" s="654"/>
      <c r="D131" s="654"/>
      <c r="E131" s="655"/>
      <c r="F131" s="654"/>
      <c r="H131" s="609" t="str">
        <f t="shared" si="14"/>
        <v/>
      </c>
      <c r="I131" s="609" t="str">
        <f t="shared" si="26"/>
        <v/>
      </c>
      <c r="J131" s="609" t="str">
        <f t="shared" si="26"/>
        <v/>
      </c>
      <c r="K131" s="609" t="str">
        <f t="shared" si="26"/>
        <v/>
      </c>
      <c r="L131" s="609" t="str">
        <f t="shared" si="26"/>
        <v/>
      </c>
      <c r="M131" s="609" t="str">
        <f t="shared" si="26"/>
        <v/>
      </c>
      <c r="N131" s="609" t="str">
        <f t="shared" si="26"/>
        <v/>
      </c>
      <c r="O131" s="609" t="str">
        <f t="shared" si="26"/>
        <v/>
      </c>
      <c r="P131" s="609" t="str">
        <f t="shared" si="26"/>
        <v/>
      </c>
      <c r="Q131" s="609" t="str">
        <f t="shared" si="26"/>
        <v/>
      </c>
      <c r="R131" s="609" t="str">
        <f t="shared" si="26"/>
        <v/>
      </c>
      <c r="S131" s="609" t="str">
        <f t="shared" si="26"/>
        <v/>
      </c>
      <c r="T131" s="609" t="str">
        <f t="shared" si="26"/>
        <v/>
      </c>
      <c r="U131" s="609" t="str">
        <f t="shared" si="26"/>
        <v/>
      </c>
      <c r="V131" s="609" t="str">
        <f t="shared" si="26"/>
        <v/>
      </c>
      <c r="W131" s="609" t="str">
        <f t="shared" si="26"/>
        <v/>
      </c>
      <c r="X131" s="609" t="str">
        <f t="shared" si="26"/>
        <v/>
      </c>
      <c r="Y131" s="609" t="str">
        <f t="shared" si="26"/>
        <v/>
      </c>
      <c r="Z131" s="609" t="str">
        <f t="shared" si="26"/>
        <v/>
      </c>
      <c r="AA131" s="609" t="str">
        <f t="shared" si="26"/>
        <v/>
      </c>
      <c r="AB131" s="609" t="str">
        <f t="shared" si="26"/>
        <v/>
      </c>
      <c r="AC131" s="609" t="str">
        <f t="shared" si="26"/>
        <v/>
      </c>
      <c r="AD131" s="609" t="str">
        <f t="shared" si="26"/>
        <v/>
      </c>
      <c r="AE131" s="609" t="str">
        <f t="shared" si="26"/>
        <v/>
      </c>
      <c r="AF131" s="609" t="str">
        <f t="shared" si="26"/>
        <v/>
      </c>
      <c r="AG131" s="609" t="str">
        <f t="shared" si="26"/>
        <v/>
      </c>
      <c r="AH131" s="609" t="str">
        <f t="shared" si="26"/>
        <v/>
      </c>
      <c r="AI131" s="609" t="str">
        <f t="shared" si="26"/>
        <v/>
      </c>
      <c r="AJ131" s="609" t="str">
        <f t="shared" si="26"/>
        <v/>
      </c>
      <c r="AK131" s="609" t="str">
        <f t="shared" si="26"/>
        <v/>
      </c>
      <c r="AL131" s="609" t="str">
        <f t="shared" si="26"/>
        <v/>
      </c>
      <c r="AM131" s="609" t="str">
        <f t="shared" si="26"/>
        <v/>
      </c>
      <c r="AN131" s="609" t="str">
        <f t="shared" si="26"/>
        <v/>
      </c>
      <c r="AO131" s="609" t="str">
        <f t="shared" si="26"/>
        <v/>
      </c>
      <c r="AP131" s="609" t="str">
        <f t="shared" si="26"/>
        <v/>
      </c>
      <c r="AQ131" s="609" t="str">
        <f t="shared" si="26"/>
        <v/>
      </c>
      <c r="AR131" s="609" t="str">
        <f t="shared" si="26"/>
        <v/>
      </c>
      <c r="AS131" s="609" t="str">
        <f t="shared" si="26"/>
        <v/>
      </c>
      <c r="AT131" s="609" t="str">
        <f t="shared" si="26"/>
        <v/>
      </c>
      <c r="AU131" s="609" t="str">
        <f t="shared" si="26"/>
        <v/>
      </c>
      <c r="AV131" s="609" t="str">
        <f t="shared" si="26"/>
        <v/>
      </c>
      <c r="AW131" s="609" t="str">
        <f t="shared" si="26"/>
        <v/>
      </c>
      <c r="AX131" s="609" t="str">
        <f t="shared" si="26"/>
        <v/>
      </c>
      <c r="AY131" s="609" t="str">
        <f t="shared" si="26"/>
        <v/>
      </c>
      <c r="AZ131" s="609" t="str">
        <f t="shared" si="26"/>
        <v/>
      </c>
      <c r="BA131" s="609" t="str">
        <f t="shared" si="26"/>
        <v/>
      </c>
      <c r="BB131" s="609" t="str">
        <f t="shared" si="26"/>
        <v/>
      </c>
      <c r="BC131" s="609" t="str">
        <f t="shared" si="26"/>
        <v/>
      </c>
      <c r="BD131" s="609" t="str">
        <f t="shared" si="26"/>
        <v/>
      </c>
      <c r="BE131" s="609" t="str">
        <f t="shared" si="26"/>
        <v/>
      </c>
      <c r="BF131" s="609" t="str">
        <f t="shared" si="26"/>
        <v/>
      </c>
      <c r="BG131" s="609" t="str">
        <f t="shared" si="26"/>
        <v/>
      </c>
    </row>
    <row r="132" spans="2:59" x14ac:dyDescent="0.25">
      <c r="B132" s="654">
        <v>126</v>
      </c>
      <c r="C132" s="654"/>
      <c r="D132" s="654"/>
      <c r="E132" s="655"/>
      <c r="F132" s="654"/>
      <c r="H132" s="609" t="str">
        <f t="shared" si="14"/>
        <v/>
      </c>
      <c r="I132" s="609" t="str">
        <f t="shared" si="26"/>
        <v/>
      </c>
      <c r="J132" s="609" t="str">
        <f t="shared" si="26"/>
        <v/>
      </c>
      <c r="K132" s="609" t="str">
        <f t="shared" si="26"/>
        <v/>
      </c>
      <c r="L132" s="609" t="str">
        <f t="shared" si="26"/>
        <v/>
      </c>
      <c r="M132" s="609" t="str">
        <f t="shared" si="26"/>
        <v/>
      </c>
      <c r="N132" s="609" t="str">
        <f t="shared" si="26"/>
        <v/>
      </c>
      <c r="O132" s="609" t="str">
        <f t="shared" si="26"/>
        <v/>
      </c>
      <c r="P132" s="609" t="str">
        <f t="shared" si="26"/>
        <v/>
      </c>
      <c r="Q132" s="609" t="str">
        <f t="shared" si="26"/>
        <v/>
      </c>
      <c r="R132" s="609" t="str">
        <f t="shared" si="26"/>
        <v/>
      </c>
      <c r="S132" s="609" t="str">
        <f t="shared" si="26"/>
        <v/>
      </c>
      <c r="T132" s="609" t="str">
        <f t="shared" si="26"/>
        <v/>
      </c>
      <c r="U132" s="609" t="str">
        <f t="shared" si="26"/>
        <v/>
      </c>
      <c r="V132" s="609" t="str">
        <f t="shared" si="26"/>
        <v/>
      </c>
      <c r="W132" s="609" t="str">
        <f t="shared" si="26"/>
        <v/>
      </c>
      <c r="X132" s="609" t="str">
        <f t="shared" si="26"/>
        <v/>
      </c>
      <c r="Y132" s="609" t="str">
        <f t="shared" si="26"/>
        <v/>
      </c>
      <c r="Z132" s="609" t="str">
        <f t="shared" si="26"/>
        <v/>
      </c>
      <c r="AA132" s="609" t="str">
        <f t="shared" si="26"/>
        <v/>
      </c>
      <c r="AB132" s="609" t="str">
        <f t="shared" si="26"/>
        <v/>
      </c>
      <c r="AC132" s="609" t="str">
        <f t="shared" si="26"/>
        <v/>
      </c>
      <c r="AD132" s="609" t="str">
        <f t="shared" si="26"/>
        <v/>
      </c>
      <c r="AE132" s="609" t="str">
        <f t="shared" si="26"/>
        <v/>
      </c>
      <c r="AF132" s="609" t="str">
        <f t="shared" si="26"/>
        <v/>
      </c>
      <c r="AG132" s="609" t="str">
        <f t="shared" si="26"/>
        <v/>
      </c>
      <c r="AH132" s="609" t="str">
        <f t="shared" si="26"/>
        <v/>
      </c>
      <c r="AI132" s="609" t="str">
        <f t="shared" si="26"/>
        <v/>
      </c>
      <c r="AJ132" s="609" t="str">
        <f t="shared" si="26"/>
        <v/>
      </c>
      <c r="AK132" s="609" t="str">
        <f t="shared" si="26"/>
        <v/>
      </c>
      <c r="AL132" s="609" t="str">
        <f t="shared" si="26"/>
        <v/>
      </c>
      <c r="AM132" s="609" t="str">
        <f t="shared" ref="I132:BG137" si="27">IF($D132=AM$6,$B132&amp;", ","")</f>
        <v/>
      </c>
      <c r="AN132" s="609" t="str">
        <f t="shared" si="27"/>
        <v/>
      </c>
      <c r="AO132" s="609" t="str">
        <f t="shared" si="27"/>
        <v/>
      </c>
      <c r="AP132" s="609" t="str">
        <f t="shared" si="27"/>
        <v/>
      </c>
      <c r="AQ132" s="609" t="str">
        <f t="shared" si="27"/>
        <v/>
      </c>
      <c r="AR132" s="609" t="str">
        <f t="shared" si="27"/>
        <v/>
      </c>
      <c r="AS132" s="609" t="str">
        <f t="shared" si="27"/>
        <v/>
      </c>
      <c r="AT132" s="609" t="str">
        <f t="shared" si="27"/>
        <v/>
      </c>
      <c r="AU132" s="609" t="str">
        <f t="shared" si="27"/>
        <v/>
      </c>
      <c r="AV132" s="609" t="str">
        <f t="shared" si="27"/>
        <v/>
      </c>
      <c r="AW132" s="609" t="str">
        <f t="shared" si="27"/>
        <v/>
      </c>
      <c r="AX132" s="609" t="str">
        <f t="shared" si="27"/>
        <v/>
      </c>
      <c r="AY132" s="609" t="str">
        <f t="shared" si="27"/>
        <v/>
      </c>
      <c r="AZ132" s="609" t="str">
        <f t="shared" si="27"/>
        <v/>
      </c>
      <c r="BA132" s="609" t="str">
        <f t="shared" si="27"/>
        <v/>
      </c>
      <c r="BB132" s="609" t="str">
        <f t="shared" si="27"/>
        <v/>
      </c>
      <c r="BC132" s="609" t="str">
        <f t="shared" si="27"/>
        <v/>
      </c>
      <c r="BD132" s="609" t="str">
        <f t="shared" si="27"/>
        <v/>
      </c>
      <c r="BE132" s="609" t="str">
        <f t="shared" si="27"/>
        <v/>
      </c>
      <c r="BF132" s="609" t="str">
        <f t="shared" si="27"/>
        <v/>
      </c>
      <c r="BG132" s="609" t="str">
        <f t="shared" si="27"/>
        <v/>
      </c>
    </row>
    <row r="133" spans="2:59" x14ac:dyDescent="0.25">
      <c r="B133" s="654">
        <v>127</v>
      </c>
      <c r="C133" s="654"/>
      <c r="D133" s="654"/>
      <c r="E133" s="655"/>
      <c r="F133" s="654"/>
      <c r="H133" s="609" t="str">
        <f t="shared" si="14"/>
        <v/>
      </c>
      <c r="I133" s="609" t="str">
        <f t="shared" si="27"/>
        <v/>
      </c>
      <c r="J133" s="609" t="str">
        <f t="shared" si="27"/>
        <v/>
      </c>
      <c r="K133" s="609" t="str">
        <f t="shared" si="27"/>
        <v/>
      </c>
      <c r="L133" s="609" t="str">
        <f t="shared" si="27"/>
        <v/>
      </c>
      <c r="M133" s="609" t="str">
        <f t="shared" si="27"/>
        <v/>
      </c>
      <c r="N133" s="609" t="str">
        <f t="shared" si="27"/>
        <v/>
      </c>
      <c r="O133" s="609" t="str">
        <f t="shared" si="27"/>
        <v/>
      </c>
      <c r="P133" s="609" t="str">
        <f t="shared" si="27"/>
        <v/>
      </c>
      <c r="Q133" s="609" t="str">
        <f t="shared" si="27"/>
        <v/>
      </c>
      <c r="R133" s="609" t="str">
        <f t="shared" si="27"/>
        <v/>
      </c>
      <c r="S133" s="609" t="str">
        <f t="shared" si="27"/>
        <v/>
      </c>
      <c r="T133" s="609" t="str">
        <f t="shared" si="27"/>
        <v/>
      </c>
      <c r="U133" s="609" t="str">
        <f t="shared" si="27"/>
        <v/>
      </c>
      <c r="V133" s="609" t="str">
        <f t="shared" si="27"/>
        <v/>
      </c>
      <c r="W133" s="609" t="str">
        <f t="shared" si="27"/>
        <v/>
      </c>
      <c r="X133" s="609" t="str">
        <f t="shared" si="27"/>
        <v/>
      </c>
      <c r="Y133" s="609" t="str">
        <f t="shared" si="27"/>
        <v/>
      </c>
      <c r="Z133" s="609" t="str">
        <f t="shared" si="27"/>
        <v/>
      </c>
      <c r="AA133" s="609" t="str">
        <f t="shared" si="27"/>
        <v/>
      </c>
      <c r="AB133" s="609" t="str">
        <f t="shared" si="27"/>
        <v/>
      </c>
      <c r="AC133" s="609" t="str">
        <f t="shared" si="27"/>
        <v/>
      </c>
      <c r="AD133" s="609" t="str">
        <f t="shared" si="27"/>
        <v/>
      </c>
      <c r="AE133" s="609" t="str">
        <f t="shared" si="27"/>
        <v/>
      </c>
      <c r="AF133" s="609" t="str">
        <f t="shared" si="27"/>
        <v/>
      </c>
      <c r="AG133" s="609" t="str">
        <f t="shared" si="27"/>
        <v/>
      </c>
      <c r="AH133" s="609" t="str">
        <f t="shared" si="27"/>
        <v/>
      </c>
      <c r="AI133" s="609" t="str">
        <f t="shared" si="27"/>
        <v/>
      </c>
      <c r="AJ133" s="609" t="str">
        <f t="shared" si="27"/>
        <v/>
      </c>
      <c r="AK133" s="609" t="str">
        <f t="shared" si="27"/>
        <v/>
      </c>
      <c r="AL133" s="609" t="str">
        <f t="shared" si="27"/>
        <v/>
      </c>
      <c r="AM133" s="609" t="str">
        <f t="shared" si="27"/>
        <v/>
      </c>
      <c r="AN133" s="609" t="str">
        <f t="shared" si="27"/>
        <v/>
      </c>
      <c r="AO133" s="609" t="str">
        <f t="shared" si="27"/>
        <v/>
      </c>
      <c r="AP133" s="609" t="str">
        <f t="shared" si="27"/>
        <v/>
      </c>
      <c r="AQ133" s="609" t="str">
        <f t="shared" si="27"/>
        <v/>
      </c>
      <c r="AR133" s="609" t="str">
        <f t="shared" si="27"/>
        <v/>
      </c>
      <c r="AS133" s="609" t="str">
        <f t="shared" si="27"/>
        <v/>
      </c>
      <c r="AT133" s="609" t="str">
        <f t="shared" si="27"/>
        <v/>
      </c>
      <c r="AU133" s="609" t="str">
        <f t="shared" si="27"/>
        <v/>
      </c>
      <c r="AV133" s="609" t="str">
        <f t="shared" si="27"/>
        <v/>
      </c>
      <c r="AW133" s="609" t="str">
        <f t="shared" si="27"/>
        <v/>
      </c>
      <c r="AX133" s="609" t="str">
        <f t="shared" si="27"/>
        <v/>
      </c>
      <c r="AY133" s="609" t="str">
        <f t="shared" si="27"/>
        <v/>
      </c>
      <c r="AZ133" s="609" t="str">
        <f t="shared" si="27"/>
        <v/>
      </c>
      <c r="BA133" s="609" t="str">
        <f t="shared" si="27"/>
        <v/>
      </c>
      <c r="BB133" s="609" t="str">
        <f t="shared" si="27"/>
        <v/>
      </c>
      <c r="BC133" s="609" t="str">
        <f t="shared" si="27"/>
        <v/>
      </c>
      <c r="BD133" s="609" t="str">
        <f t="shared" si="27"/>
        <v/>
      </c>
      <c r="BE133" s="609" t="str">
        <f t="shared" si="27"/>
        <v/>
      </c>
      <c r="BF133" s="609" t="str">
        <f t="shared" si="27"/>
        <v/>
      </c>
      <c r="BG133" s="609" t="str">
        <f t="shared" si="27"/>
        <v/>
      </c>
    </row>
    <row r="134" spans="2:59" x14ac:dyDescent="0.25">
      <c r="B134" s="654">
        <v>128</v>
      </c>
      <c r="C134" s="654"/>
      <c r="D134" s="654"/>
      <c r="E134" s="655"/>
      <c r="F134" s="654"/>
      <c r="H134" s="609" t="str">
        <f t="shared" si="14"/>
        <v/>
      </c>
      <c r="I134" s="609" t="str">
        <f t="shared" si="27"/>
        <v/>
      </c>
      <c r="J134" s="609" t="str">
        <f t="shared" si="27"/>
        <v/>
      </c>
      <c r="K134" s="609" t="str">
        <f t="shared" si="27"/>
        <v/>
      </c>
      <c r="L134" s="609" t="str">
        <f t="shared" si="27"/>
        <v/>
      </c>
      <c r="M134" s="609" t="str">
        <f t="shared" si="27"/>
        <v/>
      </c>
      <c r="N134" s="609" t="str">
        <f t="shared" si="27"/>
        <v/>
      </c>
      <c r="O134" s="609" t="str">
        <f t="shared" si="27"/>
        <v/>
      </c>
      <c r="P134" s="609" t="str">
        <f t="shared" si="27"/>
        <v/>
      </c>
      <c r="Q134" s="609" t="str">
        <f t="shared" si="27"/>
        <v/>
      </c>
      <c r="R134" s="609" t="str">
        <f t="shared" si="27"/>
        <v/>
      </c>
      <c r="S134" s="609" t="str">
        <f t="shared" si="27"/>
        <v/>
      </c>
      <c r="T134" s="609" t="str">
        <f t="shared" si="27"/>
        <v/>
      </c>
      <c r="U134" s="609" t="str">
        <f t="shared" si="27"/>
        <v/>
      </c>
      <c r="V134" s="609" t="str">
        <f t="shared" si="27"/>
        <v/>
      </c>
      <c r="W134" s="609" t="str">
        <f t="shared" si="27"/>
        <v/>
      </c>
      <c r="X134" s="609" t="str">
        <f t="shared" si="27"/>
        <v/>
      </c>
      <c r="Y134" s="609" t="str">
        <f t="shared" si="27"/>
        <v/>
      </c>
      <c r="Z134" s="609" t="str">
        <f t="shared" si="27"/>
        <v/>
      </c>
      <c r="AA134" s="609" t="str">
        <f t="shared" si="27"/>
        <v/>
      </c>
      <c r="AB134" s="609" t="str">
        <f t="shared" si="27"/>
        <v/>
      </c>
      <c r="AC134" s="609" t="str">
        <f t="shared" si="27"/>
        <v/>
      </c>
      <c r="AD134" s="609" t="str">
        <f t="shared" si="27"/>
        <v/>
      </c>
      <c r="AE134" s="609" t="str">
        <f t="shared" si="27"/>
        <v/>
      </c>
      <c r="AF134" s="609" t="str">
        <f t="shared" si="27"/>
        <v/>
      </c>
      <c r="AG134" s="609" t="str">
        <f t="shared" si="27"/>
        <v/>
      </c>
      <c r="AH134" s="609" t="str">
        <f t="shared" si="27"/>
        <v/>
      </c>
      <c r="AI134" s="609" t="str">
        <f t="shared" si="27"/>
        <v/>
      </c>
      <c r="AJ134" s="609" t="str">
        <f t="shared" si="27"/>
        <v/>
      </c>
      <c r="AK134" s="609" t="str">
        <f t="shared" si="27"/>
        <v/>
      </c>
      <c r="AL134" s="609" t="str">
        <f t="shared" si="27"/>
        <v/>
      </c>
      <c r="AM134" s="609" t="str">
        <f t="shared" si="27"/>
        <v/>
      </c>
      <c r="AN134" s="609" t="str">
        <f t="shared" si="27"/>
        <v/>
      </c>
      <c r="AO134" s="609" t="str">
        <f t="shared" si="27"/>
        <v/>
      </c>
      <c r="AP134" s="609" t="str">
        <f t="shared" si="27"/>
        <v/>
      </c>
      <c r="AQ134" s="609" t="str">
        <f t="shared" si="27"/>
        <v/>
      </c>
      <c r="AR134" s="609" t="str">
        <f t="shared" si="27"/>
        <v/>
      </c>
      <c r="AS134" s="609" t="str">
        <f t="shared" si="27"/>
        <v/>
      </c>
      <c r="AT134" s="609" t="str">
        <f t="shared" si="27"/>
        <v/>
      </c>
      <c r="AU134" s="609" t="str">
        <f t="shared" si="27"/>
        <v/>
      </c>
      <c r="AV134" s="609" t="str">
        <f t="shared" si="27"/>
        <v/>
      </c>
      <c r="AW134" s="609" t="str">
        <f t="shared" si="27"/>
        <v/>
      </c>
      <c r="AX134" s="609" t="str">
        <f t="shared" si="27"/>
        <v/>
      </c>
      <c r="AY134" s="609" t="str">
        <f t="shared" si="27"/>
        <v/>
      </c>
      <c r="AZ134" s="609" t="str">
        <f t="shared" si="27"/>
        <v/>
      </c>
      <c r="BA134" s="609" t="str">
        <f t="shared" si="27"/>
        <v/>
      </c>
      <c r="BB134" s="609" t="str">
        <f t="shared" si="27"/>
        <v/>
      </c>
      <c r="BC134" s="609" t="str">
        <f t="shared" si="27"/>
        <v/>
      </c>
      <c r="BD134" s="609" t="str">
        <f t="shared" si="27"/>
        <v/>
      </c>
      <c r="BE134" s="609" t="str">
        <f t="shared" si="27"/>
        <v/>
      </c>
      <c r="BF134" s="609" t="str">
        <f t="shared" si="27"/>
        <v/>
      </c>
      <c r="BG134" s="609" t="str">
        <f t="shared" si="27"/>
        <v/>
      </c>
    </row>
    <row r="135" spans="2:59" x14ac:dyDescent="0.25">
      <c r="B135" s="654">
        <v>129</v>
      </c>
      <c r="C135" s="654"/>
      <c r="D135" s="654"/>
      <c r="E135" s="655"/>
      <c r="F135" s="654"/>
      <c r="H135" s="609" t="str">
        <f t="shared" si="14"/>
        <v/>
      </c>
      <c r="I135" s="609" t="str">
        <f t="shared" si="27"/>
        <v/>
      </c>
      <c r="J135" s="609" t="str">
        <f t="shared" si="27"/>
        <v/>
      </c>
      <c r="K135" s="609" t="str">
        <f t="shared" si="27"/>
        <v/>
      </c>
      <c r="L135" s="609" t="str">
        <f t="shared" si="27"/>
        <v/>
      </c>
      <c r="M135" s="609" t="str">
        <f t="shared" si="27"/>
        <v/>
      </c>
      <c r="N135" s="609" t="str">
        <f t="shared" si="27"/>
        <v/>
      </c>
      <c r="O135" s="609" t="str">
        <f t="shared" si="27"/>
        <v/>
      </c>
      <c r="P135" s="609" t="str">
        <f t="shared" si="27"/>
        <v/>
      </c>
      <c r="Q135" s="609" t="str">
        <f t="shared" si="27"/>
        <v/>
      </c>
      <c r="R135" s="609" t="str">
        <f t="shared" si="27"/>
        <v/>
      </c>
      <c r="S135" s="609" t="str">
        <f t="shared" si="27"/>
        <v/>
      </c>
      <c r="T135" s="609" t="str">
        <f t="shared" si="27"/>
        <v/>
      </c>
      <c r="U135" s="609" t="str">
        <f t="shared" si="27"/>
        <v/>
      </c>
      <c r="V135" s="609" t="str">
        <f t="shared" si="27"/>
        <v/>
      </c>
      <c r="W135" s="609" t="str">
        <f t="shared" si="27"/>
        <v/>
      </c>
      <c r="X135" s="609" t="str">
        <f t="shared" si="27"/>
        <v/>
      </c>
      <c r="Y135" s="609" t="str">
        <f t="shared" si="27"/>
        <v/>
      </c>
      <c r="Z135" s="609" t="str">
        <f t="shared" si="27"/>
        <v/>
      </c>
      <c r="AA135" s="609" t="str">
        <f t="shared" si="27"/>
        <v/>
      </c>
      <c r="AB135" s="609" t="str">
        <f t="shared" si="27"/>
        <v/>
      </c>
      <c r="AC135" s="609" t="str">
        <f t="shared" si="27"/>
        <v/>
      </c>
      <c r="AD135" s="609" t="str">
        <f t="shared" si="27"/>
        <v/>
      </c>
      <c r="AE135" s="609" t="str">
        <f t="shared" si="27"/>
        <v/>
      </c>
      <c r="AF135" s="609" t="str">
        <f t="shared" si="27"/>
        <v/>
      </c>
      <c r="AG135" s="609" t="str">
        <f t="shared" si="27"/>
        <v/>
      </c>
      <c r="AH135" s="609" t="str">
        <f t="shared" si="27"/>
        <v/>
      </c>
      <c r="AI135" s="609" t="str">
        <f t="shared" si="27"/>
        <v/>
      </c>
      <c r="AJ135" s="609" t="str">
        <f t="shared" si="27"/>
        <v/>
      </c>
      <c r="AK135" s="609" t="str">
        <f t="shared" si="27"/>
        <v/>
      </c>
      <c r="AL135" s="609" t="str">
        <f t="shared" si="27"/>
        <v/>
      </c>
      <c r="AM135" s="609" t="str">
        <f t="shared" si="27"/>
        <v/>
      </c>
      <c r="AN135" s="609" t="str">
        <f t="shared" si="27"/>
        <v/>
      </c>
      <c r="AO135" s="609" t="str">
        <f t="shared" si="27"/>
        <v/>
      </c>
      <c r="AP135" s="609" t="str">
        <f t="shared" si="27"/>
        <v/>
      </c>
      <c r="AQ135" s="609" t="str">
        <f t="shared" si="27"/>
        <v/>
      </c>
      <c r="AR135" s="609" t="str">
        <f t="shared" si="27"/>
        <v/>
      </c>
      <c r="AS135" s="609" t="str">
        <f t="shared" si="27"/>
        <v/>
      </c>
      <c r="AT135" s="609" t="str">
        <f t="shared" si="27"/>
        <v/>
      </c>
      <c r="AU135" s="609" t="str">
        <f t="shared" si="27"/>
        <v/>
      </c>
      <c r="AV135" s="609" t="str">
        <f t="shared" si="27"/>
        <v/>
      </c>
      <c r="AW135" s="609" t="str">
        <f t="shared" si="27"/>
        <v/>
      </c>
      <c r="AX135" s="609" t="str">
        <f t="shared" si="27"/>
        <v/>
      </c>
      <c r="AY135" s="609" t="str">
        <f t="shared" si="27"/>
        <v/>
      </c>
      <c r="AZ135" s="609" t="str">
        <f t="shared" si="27"/>
        <v/>
      </c>
      <c r="BA135" s="609" t="str">
        <f t="shared" si="27"/>
        <v/>
      </c>
      <c r="BB135" s="609" t="str">
        <f t="shared" si="27"/>
        <v/>
      </c>
      <c r="BC135" s="609" t="str">
        <f t="shared" si="27"/>
        <v/>
      </c>
      <c r="BD135" s="609" t="str">
        <f t="shared" si="27"/>
        <v/>
      </c>
      <c r="BE135" s="609" t="str">
        <f t="shared" si="27"/>
        <v/>
      </c>
      <c r="BF135" s="609" t="str">
        <f t="shared" si="27"/>
        <v/>
      </c>
      <c r="BG135" s="609" t="str">
        <f t="shared" si="27"/>
        <v/>
      </c>
    </row>
    <row r="136" spans="2:59" x14ac:dyDescent="0.25">
      <c r="B136" s="654">
        <v>130</v>
      </c>
      <c r="C136" s="654"/>
      <c r="D136" s="654"/>
      <c r="E136" s="655"/>
      <c r="F136" s="654"/>
      <c r="H136" s="609" t="str">
        <f t="shared" ref="H136:W199" si="28">IF($D136=H$6,$B136&amp;", ","")</f>
        <v/>
      </c>
      <c r="I136" s="609" t="str">
        <f t="shared" si="28"/>
        <v/>
      </c>
      <c r="J136" s="609" t="str">
        <f t="shared" si="28"/>
        <v/>
      </c>
      <c r="K136" s="609" t="str">
        <f t="shared" si="28"/>
        <v/>
      </c>
      <c r="L136" s="609" t="str">
        <f t="shared" si="28"/>
        <v/>
      </c>
      <c r="M136" s="609" t="str">
        <f t="shared" si="28"/>
        <v/>
      </c>
      <c r="N136" s="609" t="str">
        <f t="shared" si="28"/>
        <v/>
      </c>
      <c r="O136" s="609" t="str">
        <f t="shared" si="28"/>
        <v/>
      </c>
      <c r="P136" s="609" t="str">
        <f t="shared" si="28"/>
        <v/>
      </c>
      <c r="Q136" s="609" t="str">
        <f t="shared" si="28"/>
        <v/>
      </c>
      <c r="R136" s="609" t="str">
        <f t="shared" si="28"/>
        <v/>
      </c>
      <c r="S136" s="609" t="str">
        <f t="shared" si="28"/>
        <v/>
      </c>
      <c r="T136" s="609" t="str">
        <f t="shared" si="28"/>
        <v/>
      </c>
      <c r="U136" s="609" t="str">
        <f t="shared" si="28"/>
        <v/>
      </c>
      <c r="V136" s="609" t="str">
        <f t="shared" si="28"/>
        <v/>
      </c>
      <c r="W136" s="609" t="str">
        <f t="shared" si="28"/>
        <v/>
      </c>
      <c r="X136" s="609" t="str">
        <f t="shared" si="27"/>
        <v/>
      </c>
      <c r="Y136" s="609" t="str">
        <f t="shared" si="27"/>
        <v/>
      </c>
      <c r="Z136" s="609" t="str">
        <f t="shared" si="27"/>
        <v/>
      </c>
      <c r="AA136" s="609" t="str">
        <f t="shared" si="27"/>
        <v/>
      </c>
      <c r="AB136" s="609" t="str">
        <f t="shared" si="27"/>
        <v/>
      </c>
      <c r="AC136" s="609" t="str">
        <f t="shared" si="27"/>
        <v/>
      </c>
      <c r="AD136" s="609" t="str">
        <f t="shared" si="27"/>
        <v/>
      </c>
      <c r="AE136" s="609" t="str">
        <f t="shared" si="27"/>
        <v/>
      </c>
      <c r="AF136" s="609" t="str">
        <f t="shared" si="27"/>
        <v/>
      </c>
      <c r="AG136" s="609" t="str">
        <f t="shared" si="27"/>
        <v/>
      </c>
      <c r="AH136" s="609" t="str">
        <f t="shared" si="27"/>
        <v/>
      </c>
      <c r="AI136" s="609" t="str">
        <f t="shared" si="27"/>
        <v/>
      </c>
      <c r="AJ136" s="609" t="str">
        <f t="shared" si="27"/>
        <v/>
      </c>
      <c r="AK136" s="609" t="str">
        <f t="shared" si="27"/>
        <v/>
      </c>
      <c r="AL136" s="609" t="str">
        <f t="shared" si="27"/>
        <v/>
      </c>
      <c r="AM136" s="609" t="str">
        <f t="shared" si="27"/>
        <v/>
      </c>
      <c r="AN136" s="609" t="str">
        <f t="shared" si="27"/>
        <v/>
      </c>
      <c r="AO136" s="609" t="str">
        <f t="shared" si="27"/>
        <v/>
      </c>
      <c r="AP136" s="609" t="str">
        <f t="shared" si="27"/>
        <v/>
      </c>
      <c r="AQ136" s="609" t="str">
        <f t="shared" si="27"/>
        <v/>
      </c>
      <c r="AR136" s="609" t="str">
        <f t="shared" si="27"/>
        <v/>
      </c>
      <c r="AS136" s="609" t="str">
        <f t="shared" si="27"/>
        <v/>
      </c>
      <c r="AT136" s="609" t="str">
        <f t="shared" si="27"/>
        <v/>
      </c>
      <c r="AU136" s="609" t="str">
        <f t="shared" si="27"/>
        <v/>
      </c>
      <c r="AV136" s="609" t="str">
        <f t="shared" si="27"/>
        <v/>
      </c>
      <c r="AW136" s="609" t="str">
        <f t="shared" si="27"/>
        <v/>
      </c>
      <c r="AX136" s="609" t="str">
        <f t="shared" si="27"/>
        <v/>
      </c>
      <c r="AY136" s="609" t="str">
        <f t="shared" si="27"/>
        <v/>
      </c>
      <c r="AZ136" s="609" t="str">
        <f t="shared" si="27"/>
        <v/>
      </c>
      <c r="BA136" s="609" t="str">
        <f t="shared" si="27"/>
        <v/>
      </c>
      <c r="BB136" s="609" t="str">
        <f t="shared" si="27"/>
        <v/>
      </c>
      <c r="BC136" s="609" t="str">
        <f t="shared" si="27"/>
        <v/>
      </c>
      <c r="BD136" s="609" t="str">
        <f t="shared" si="27"/>
        <v/>
      </c>
      <c r="BE136" s="609" t="str">
        <f t="shared" si="27"/>
        <v/>
      </c>
      <c r="BF136" s="609" t="str">
        <f t="shared" si="27"/>
        <v/>
      </c>
      <c r="BG136" s="609" t="str">
        <f t="shared" si="27"/>
        <v/>
      </c>
    </row>
    <row r="137" spans="2:59" x14ac:dyDescent="0.25">
      <c r="B137" s="654">
        <v>131</v>
      </c>
      <c r="C137" s="654"/>
      <c r="D137" s="654"/>
      <c r="E137" s="655"/>
      <c r="F137" s="654"/>
      <c r="H137" s="609" t="str">
        <f t="shared" si="28"/>
        <v/>
      </c>
      <c r="I137" s="609" t="str">
        <f t="shared" si="27"/>
        <v/>
      </c>
      <c r="J137" s="609" t="str">
        <f t="shared" si="27"/>
        <v/>
      </c>
      <c r="K137" s="609" t="str">
        <f t="shared" si="27"/>
        <v/>
      </c>
      <c r="L137" s="609" t="str">
        <f t="shared" si="27"/>
        <v/>
      </c>
      <c r="M137" s="609" t="str">
        <f t="shared" si="27"/>
        <v/>
      </c>
      <c r="N137" s="609" t="str">
        <f t="shared" si="27"/>
        <v/>
      </c>
      <c r="O137" s="609" t="str">
        <f t="shared" si="27"/>
        <v/>
      </c>
      <c r="P137" s="609" t="str">
        <f t="shared" si="27"/>
        <v/>
      </c>
      <c r="Q137" s="609" t="str">
        <f t="shared" si="27"/>
        <v/>
      </c>
      <c r="R137" s="609" t="str">
        <f t="shared" si="27"/>
        <v/>
      </c>
      <c r="S137" s="609" t="str">
        <f t="shared" si="27"/>
        <v/>
      </c>
      <c r="T137" s="609" t="str">
        <f t="shared" si="27"/>
        <v/>
      </c>
      <c r="U137" s="609" t="str">
        <f t="shared" si="27"/>
        <v/>
      </c>
      <c r="V137" s="609" t="str">
        <f t="shared" si="27"/>
        <v/>
      </c>
      <c r="W137" s="609" t="str">
        <f t="shared" si="27"/>
        <v/>
      </c>
      <c r="X137" s="609" t="str">
        <f t="shared" si="27"/>
        <v/>
      </c>
      <c r="Y137" s="609" t="str">
        <f t="shared" si="27"/>
        <v/>
      </c>
      <c r="Z137" s="609" t="str">
        <f t="shared" si="27"/>
        <v/>
      </c>
      <c r="AA137" s="609" t="str">
        <f t="shared" si="27"/>
        <v/>
      </c>
      <c r="AB137" s="609" t="str">
        <f t="shared" si="27"/>
        <v/>
      </c>
      <c r="AC137" s="609" t="str">
        <f t="shared" si="27"/>
        <v/>
      </c>
      <c r="AD137" s="609" t="str">
        <f t="shared" si="27"/>
        <v/>
      </c>
      <c r="AE137" s="609" t="str">
        <f t="shared" si="27"/>
        <v/>
      </c>
      <c r="AF137" s="609" t="str">
        <f t="shared" si="27"/>
        <v/>
      </c>
      <c r="AG137" s="609" t="str">
        <f t="shared" si="27"/>
        <v/>
      </c>
      <c r="AH137" s="609" t="str">
        <f t="shared" si="27"/>
        <v/>
      </c>
      <c r="AI137" s="609" t="str">
        <f t="shared" si="27"/>
        <v/>
      </c>
      <c r="AJ137" s="609" t="str">
        <f t="shared" si="27"/>
        <v/>
      </c>
      <c r="AK137" s="609" t="str">
        <f t="shared" si="27"/>
        <v/>
      </c>
      <c r="AL137" s="609" t="str">
        <f t="shared" si="27"/>
        <v/>
      </c>
      <c r="AM137" s="609" t="str">
        <f t="shared" si="27"/>
        <v/>
      </c>
      <c r="AN137" s="609" t="str">
        <f t="shared" si="27"/>
        <v/>
      </c>
      <c r="AO137" s="609" t="str">
        <f t="shared" si="27"/>
        <v/>
      </c>
      <c r="AP137" s="609" t="str">
        <f t="shared" si="27"/>
        <v/>
      </c>
      <c r="AQ137" s="609" t="str">
        <f t="shared" si="27"/>
        <v/>
      </c>
      <c r="AR137" s="609" t="str">
        <f t="shared" si="27"/>
        <v/>
      </c>
      <c r="AS137" s="609" t="str">
        <f t="shared" si="27"/>
        <v/>
      </c>
      <c r="AT137" s="609" t="str">
        <f t="shared" si="27"/>
        <v/>
      </c>
      <c r="AU137" s="609" t="str">
        <f t="shared" si="27"/>
        <v/>
      </c>
      <c r="AV137" s="609" t="str">
        <f t="shared" si="27"/>
        <v/>
      </c>
      <c r="AW137" s="609" t="str">
        <f t="shared" si="27"/>
        <v/>
      </c>
      <c r="AX137" s="609" t="str">
        <f t="shared" si="27"/>
        <v/>
      </c>
      <c r="AY137" s="609" t="str">
        <f t="shared" si="27"/>
        <v/>
      </c>
      <c r="AZ137" s="609" t="str">
        <f t="shared" si="27"/>
        <v/>
      </c>
      <c r="BA137" s="609" t="str">
        <f t="shared" si="27"/>
        <v/>
      </c>
      <c r="BB137" s="609" t="str">
        <f t="shared" ref="I137:BG142" si="29">IF($D137=BB$6,$B137&amp;", ","")</f>
        <v/>
      </c>
      <c r="BC137" s="609" t="str">
        <f t="shared" si="29"/>
        <v/>
      </c>
      <c r="BD137" s="609" t="str">
        <f t="shared" si="29"/>
        <v/>
      </c>
      <c r="BE137" s="609" t="str">
        <f t="shared" si="29"/>
        <v/>
      </c>
      <c r="BF137" s="609" t="str">
        <f t="shared" si="29"/>
        <v/>
      </c>
      <c r="BG137" s="609" t="str">
        <f t="shared" si="29"/>
        <v/>
      </c>
    </row>
    <row r="138" spans="2:59" x14ac:dyDescent="0.25">
      <c r="B138" s="654">
        <v>132</v>
      </c>
      <c r="C138" s="654"/>
      <c r="D138" s="654"/>
      <c r="E138" s="655"/>
      <c r="F138" s="654"/>
      <c r="H138" s="609" t="str">
        <f t="shared" si="28"/>
        <v/>
      </c>
      <c r="I138" s="609" t="str">
        <f t="shared" si="29"/>
        <v/>
      </c>
      <c r="J138" s="609" t="str">
        <f t="shared" si="29"/>
        <v/>
      </c>
      <c r="K138" s="609" t="str">
        <f t="shared" si="29"/>
        <v/>
      </c>
      <c r="L138" s="609" t="str">
        <f t="shared" si="29"/>
        <v/>
      </c>
      <c r="M138" s="609" t="str">
        <f t="shared" si="29"/>
        <v/>
      </c>
      <c r="N138" s="609" t="str">
        <f t="shared" si="29"/>
        <v/>
      </c>
      <c r="O138" s="609" t="str">
        <f t="shared" si="29"/>
        <v/>
      </c>
      <c r="P138" s="609" t="str">
        <f t="shared" si="29"/>
        <v/>
      </c>
      <c r="Q138" s="609" t="str">
        <f t="shared" si="29"/>
        <v/>
      </c>
      <c r="R138" s="609" t="str">
        <f t="shared" si="29"/>
        <v/>
      </c>
      <c r="S138" s="609" t="str">
        <f t="shared" si="29"/>
        <v/>
      </c>
      <c r="T138" s="609" t="str">
        <f t="shared" si="29"/>
        <v/>
      </c>
      <c r="U138" s="609" t="str">
        <f t="shared" si="29"/>
        <v/>
      </c>
      <c r="V138" s="609" t="str">
        <f t="shared" si="29"/>
        <v/>
      </c>
      <c r="W138" s="609" t="str">
        <f t="shared" si="29"/>
        <v/>
      </c>
      <c r="X138" s="609" t="str">
        <f t="shared" si="29"/>
        <v/>
      </c>
      <c r="Y138" s="609" t="str">
        <f t="shared" si="29"/>
        <v/>
      </c>
      <c r="Z138" s="609" t="str">
        <f t="shared" si="29"/>
        <v/>
      </c>
      <c r="AA138" s="609" t="str">
        <f t="shared" si="29"/>
        <v/>
      </c>
      <c r="AB138" s="609" t="str">
        <f t="shared" si="29"/>
        <v/>
      </c>
      <c r="AC138" s="609" t="str">
        <f t="shared" si="29"/>
        <v/>
      </c>
      <c r="AD138" s="609" t="str">
        <f t="shared" si="29"/>
        <v/>
      </c>
      <c r="AE138" s="609" t="str">
        <f t="shared" si="29"/>
        <v/>
      </c>
      <c r="AF138" s="609" t="str">
        <f t="shared" si="29"/>
        <v/>
      </c>
      <c r="AG138" s="609" t="str">
        <f t="shared" si="29"/>
        <v/>
      </c>
      <c r="AH138" s="609" t="str">
        <f t="shared" si="29"/>
        <v/>
      </c>
      <c r="AI138" s="609" t="str">
        <f t="shared" si="29"/>
        <v/>
      </c>
      <c r="AJ138" s="609" t="str">
        <f t="shared" si="29"/>
        <v/>
      </c>
      <c r="AK138" s="609" t="str">
        <f t="shared" si="29"/>
        <v/>
      </c>
      <c r="AL138" s="609" t="str">
        <f t="shared" si="29"/>
        <v/>
      </c>
      <c r="AM138" s="609" t="str">
        <f t="shared" si="29"/>
        <v/>
      </c>
      <c r="AN138" s="609" t="str">
        <f t="shared" si="29"/>
        <v/>
      </c>
      <c r="AO138" s="609" t="str">
        <f t="shared" si="29"/>
        <v/>
      </c>
      <c r="AP138" s="609" t="str">
        <f t="shared" si="29"/>
        <v/>
      </c>
      <c r="AQ138" s="609" t="str">
        <f t="shared" si="29"/>
        <v/>
      </c>
      <c r="AR138" s="609" t="str">
        <f t="shared" si="29"/>
        <v/>
      </c>
      <c r="AS138" s="609" t="str">
        <f t="shared" si="29"/>
        <v/>
      </c>
      <c r="AT138" s="609" t="str">
        <f t="shared" si="29"/>
        <v/>
      </c>
      <c r="AU138" s="609" t="str">
        <f t="shared" si="29"/>
        <v/>
      </c>
      <c r="AV138" s="609" t="str">
        <f t="shared" si="29"/>
        <v/>
      </c>
      <c r="AW138" s="609" t="str">
        <f t="shared" si="29"/>
        <v/>
      </c>
      <c r="AX138" s="609" t="str">
        <f t="shared" si="29"/>
        <v/>
      </c>
      <c r="AY138" s="609" t="str">
        <f t="shared" si="29"/>
        <v/>
      </c>
      <c r="AZ138" s="609" t="str">
        <f t="shared" si="29"/>
        <v/>
      </c>
      <c r="BA138" s="609" t="str">
        <f t="shared" si="29"/>
        <v/>
      </c>
      <c r="BB138" s="609" t="str">
        <f t="shared" si="29"/>
        <v/>
      </c>
      <c r="BC138" s="609" t="str">
        <f t="shared" si="29"/>
        <v/>
      </c>
      <c r="BD138" s="609" t="str">
        <f t="shared" si="29"/>
        <v/>
      </c>
      <c r="BE138" s="609" t="str">
        <f t="shared" si="29"/>
        <v/>
      </c>
      <c r="BF138" s="609" t="str">
        <f t="shared" si="29"/>
        <v/>
      </c>
      <c r="BG138" s="609" t="str">
        <f t="shared" si="29"/>
        <v/>
      </c>
    </row>
    <row r="139" spans="2:59" x14ac:dyDescent="0.25">
      <c r="B139" s="654">
        <v>133</v>
      </c>
      <c r="C139" s="654"/>
      <c r="D139" s="654"/>
      <c r="E139" s="655"/>
      <c r="F139" s="654"/>
      <c r="H139" s="609" t="str">
        <f t="shared" si="28"/>
        <v/>
      </c>
      <c r="I139" s="609" t="str">
        <f t="shared" si="29"/>
        <v/>
      </c>
      <c r="J139" s="609" t="str">
        <f t="shared" si="29"/>
        <v/>
      </c>
      <c r="K139" s="609" t="str">
        <f t="shared" si="29"/>
        <v/>
      </c>
      <c r="L139" s="609" t="str">
        <f t="shared" si="29"/>
        <v/>
      </c>
      <c r="M139" s="609" t="str">
        <f t="shared" si="29"/>
        <v/>
      </c>
      <c r="N139" s="609" t="str">
        <f t="shared" si="29"/>
        <v/>
      </c>
      <c r="O139" s="609" t="str">
        <f t="shared" si="29"/>
        <v/>
      </c>
      <c r="P139" s="609" t="str">
        <f t="shared" si="29"/>
        <v/>
      </c>
      <c r="Q139" s="609" t="str">
        <f t="shared" si="29"/>
        <v/>
      </c>
      <c r="R139" s="609" t="str">
        <f t="shared" si="29"/>
        <v/>
      </c>
      <c r="S139" s="609" t="str">
        <f t="shared" si="29"/>
        <v/>
      </c>
      <c r="T139" s="609" t="str">
        <f t="shared" si="29"/>
        <v/>
      </c>
      <c r="U139" s="609" t="str">
        <f t="shared" si="29"/>
        <v/>
      </c>
      <c r="V139" s="609" t="str">
        <f t="shared" si="29"/>
        <v/>
      </c>
      <c r="W139" s="609" t="str">
        <f t="shared" si="29"/>
        <v/>
      </c>
      <c r="X139" s="609" t="str">
        <f t="shared" si="29"/>
        <v/>
      </c>
      <c r="Y139" s="609" t="str">
        <f t="shared" si="29"/>
        <v/>
      </c>
      <c r="Z139" s="609" t="str">
        <f t="shared" si="29"/>
        <v/>
      </c>
      <c r="AA139" s="609" t="str">
        <f t="shared" si="29"/>
        <v/>
      </c>
      <c r="AB139" s="609" t="str">
        <f t="shared" si="29"/>
        <v/>
      </c>
      <c r="AC139" s="609" t="str">
        <f t="shared" si="29"/>
        <v/>
      </c>
      <c r="AD139" s="609" t="str">
        <f t="shared" si="29"/>
        <v/>
      </c>
      <c r="AE139" s="609" t="str">
        <f t="shared" si="29"/>
        <v/>
      </c>
      <c r="AF139" s="609" t="str">
        <f t="shared" si="29"/>
        <v/>
      </c>
      <c r="AG139" s="609" t="str">
        <f t="shared" si="29"/>
        <v/>
      </c>
      <c r="AH139" s="609" t="str">
        <f t="shared" si="29"/>
        <v/>
      </c>
      <c r="AI139" s="609" t="str">
        <f t="shared" si="29"/>
        <v/>
      </c>
      <c r="AJ139" s="609" t="str">
        <f t="shared" si="29"/>
        <v/>
      </c>
      <c r="AK139" s="609" t="str">
        <f t="shared" si="29"/>
        <v/>
      </c>
      <c r="AL139" s="609" t="str">
        <f t="shared" si="29"/>
        <v/>
      </c>
      <c r="AM139" s="609" t="str">
        <f t="shared" si="29"/>
        <v/>
      </c>
      <c r="AN139" s="609" t="str">
        <f t="shared" si="29"/>
        <v/>
      </c>
      <c r="AO139" s="609" t="str">
        <f t="shared" si="29"/>
        <v/>
      </c>
      <c r="AP139" s="609" t="str">
        <f t="shared" si="29"/>
        <v/>
      </c>
      <c r="AQ139" s="609" t="str">
        <f t="shared" si="29"/>
        <v/>
      </c>
      <c r="AR139" s="609" t="str">
        <f t="shared" si="29"/>
        <v/>
      </c>
      <c r="AS139" s="609" t="str">
        <f t="shared" si="29"/>
        <v/>
      </c>
      <c r="AT139" s="609" t="str">
        <f t="shared" si="29"/>
        <v/>
      </c>
      <c r="AU139" s="609" t="str">
        <f t="shared" si="29"/>
        <v/>
      </c>
      <c r="AV139" s="609" t="str">
        <f t="shared" si="29"/>
        <v/>
      </c>
      <c r="AW139" s="609" t="str">
        <f t="shared" si="29"/>
        <v/>
      </c>
      <c r="AX139" s="609" t="str">
        <f t="shared" si="29"/>
        <v/>
      </c>
      <c r="AY139" s="609" t="str">
        <f t="shared" si="29"/>
        <v/>
      </c>
      <c r="AZ139" s="609" t="str">
        <f t="shared" si="29"/>
        <v/>
      </c>
      <c r="BA139" s="609" t="str">
        <f t="shared" si="29"/>
        <v/>
      </c>
      <c r="BB139" s="609" t="str">
        <f t="shared" si="29"/>
        <v/>
      </c>
      <c r="BC139" s="609" t="str">
        <f t="shared" si="29"/>
        <v/>
      </c>
      <c r="BD139" s="609" t="str">
        <f t="shared" si="29"/>
        <v/>
      </c>
      <c r="BE139" s="609" t="str">
        <f t="shared" si="29"/>
        <v/>
      </c>
      <c r="BF139" s="609" t="str">
        <f t="shared" si="29"/>
        <v/>
      </c>
      <c r="BG139" s="609" t="str">
        <f t="shared" si="29"/>
        <v/>
      </c>
    </row>
    <row r="140" spans="2:59" x14ac:dyDescent="0.25">
      <c r="B140" s="654">
        <v>134</v>
      </c>
      <c r="C140" s="654"/>
      <c r="D140" s="654"/>
      <c r="E140" s="655"/>
      <c r="F140" s="654"/>
      <c r="H140" s="609" t="str">
        <f t="shared" si="28"/>
        <v/>
      </c>
      <c r="I140" s="609" t="str">
        <f t="shared" si="29"/>
        <v/>
      </c>
      <c r="J140" s="609" t="str">
        <f t="shared" si="29"/>
        <v/>
      </c>
      <c r="K140" s="609" t="str">
        <f t="shared" si="29"/>
        <v/>
      </c>
      <c r="L140" s="609" t="str">
        <f t="shared" si="29"/>
        <v/>
      </c>
      <c r="M140" s="609" t="str">
        <f t="shared" si="29"/>
        <v/>
      </c>
      <c r="N140" s="609" t="str">
        <f t="shared" si="29"/>
        <v/>
      </c>
      <c r="O140" s="609" t="str">
        <f t="shared" si="29"/>
        <v/>
      </c>
      <c r="P140" s="609" t="str">
        <f t="shared" si="29"/>
        <v/>
      </c>
      <c r="Q140" s="609" t="str">
        <f t="shared" si="29"/>
        <v/>
      </c>
      <c r="R140" s="609" t="str">
        <f t="shared" si="29"/>
        <v/>
      </c>
      <c r="S140" s="609" t="str">
        <f t="shared" si="29"/>
        <v/>
      </c>
      <c r="T140" s="609" t="str">
        <f t="shared" si="29"/>
        <v/>
      </c>
      <c r="U140" s="609" t="str">
        <f t="shared" si="29"/>
        <v/>
      </c>
      <c r="V140" s="609" t="str">
        <f t="shared" si="29"/>
        <v/>
      </c>
      <c r="W140" s="609" t="str">
        <f t="shared" si="29"/>
        <v/>
      </c>
      <c r="X140" s="609" t="str">
        <f t="shared" si="29"/>
        <v/>
      </c>
      <c r="Y140" s="609" t="str">
        <f t="shared" si="29"/>
        <v/>
      </c>
      <c r="Z140" s="609" t="str">
        <f t="shared" si="29"/>
        <v/>
      </c>
      <c r="AA140" s="609" t="str">
        <f t="shared" si="29"/>
        <v/>
      </c>
      <c r="AB140" s="609" t="str">
        <f t="shared" si="29"/>
        <v/>
      </c>
      <c r="AC140" s="609" t="str">
        <f t="shared" si="29"/>
        <v/>
      </c>
      <c r="AD140" s="609" t="str">
        <f t="shared" si="29"/>
        <v/>
      </c>
      <c r="AE140" s="609" t="str">
        <f t="shared" si="29"/>
        <v/>
      </c>
      <c r="AF140" s="609" t="str">
        <f t="shared" si="29"/>
        <v/>
      </c>
      <c r="AG140" s="609" t="str">
        <f t="shared" si="29"/>
        <v/>
      </c>
      <c r="AH140" s="609" t="str">
        <f t="shared" si="29"/>
        <v/>
      </c>
      <c r="AI140" s="609" t="str">
        <f t="shared" si="29"/>
        <v/>
      </c>
      <c r="AJ140" s="609" t="str">
        <f t="shared" si="29"/>
        <v/>
      </c>
      <c r="AK140" s="609" t="str">
        <f t="shared" si="29"/>
        <v/>
      </c>
      <c r="AL140" s="609" t="str">
        <f t="shared" si="29"/>
        <v/>
      </c>
      <c r="AM140" s="609" t="str">
        <f t="shared" si="29"/>
        <v/>
      </c>
      <c r="AN140" s="609" t="str">
        <f t="shared" si="29"/>
        <v/>
      </c>
      <c r="AO140" s="609" t="str">
        <f t="shared" si="29"/>
        <v/>
      </c>
      <c r="AP140" s="609" t="str">
        <f t="shared" si="29"/>
        <v/>
      </c>
      <c r="AQ140" s="609" t="str">
        <f t="shared" si="29"/>
        <v/>
      </c>
      <c r="AR140" s="609" t="str">
        <f t="shared" si="29"/>
        <v/>
      </c>
      <c r="AS140" s="609" t="str">
        <f t="shared" si="29"/>
        <v/>
      </c>
      <c r="AT140" s="609" t="str">
        <f t="shared" si="29"/>
        <v/>
      </c>
      <c r="AU140" s="609" t="str">
        <f t="shared" si="29"/>
        <v/>
      </c>
      <c r="AV140" s="609" t="str">
        <f t="shared" si="29"/>
        <v/>
      </c>
      <c r="AW140" s="609" t="str">
        <f t="shared" si="29"/>
        <v/>
      </c>
      <c r="AX140" s="609" t="str">
        <f t="shared" si="29"/>
        <v/>
      </c>
      <c r="AY140" s="609" t="str">
        <f t="shared" si="29"/>
        <v/>
      </c>
      <c r="AZ140" s="609" t="str">
        <f t="shared" si="29"/>
        <v/>
      </c>
      <c r="BA140" s="609" t="str">
        <f t="shared" si="29"/>
        <v/>
      </c>
      <c r="BB140" s="609" t="str">
        <f t="shared" si="29"/>
        <v/>
      </c>
      <c r="BC140" s="609" t="str">
        <f t="shared" si="29"/>
        <v/>
      </c>
      <c r="BD140" s="609" t="str">
        <f t="shared" si="29"/>
        <v/>
      </c>
      <c r="BE140" s="609" t="str">
        <f t="shared" si="29"/>
        <v/>
      </c>
      <c r="BF140" s="609" t="str">
        <f t="shared" si="29"/>
        <v/>
      </c>
      <c r="BG140" s="609" t="str">
        <f t="shared" si="29"/>
        <v/>
      </c>
    </row>
    <row r="141" spans="2:59" x14ac:dyDescent="0.25">
      <c r="B141" s="654">
        <v>135</v>
      </c>
      <c r="C141" s="654"/>
      <c r="D141" s="654"/>
      <c r="E141" s="655"/>
      <c r="F141" s="654"/>
      <c r="H141" s="609" t="str">
        <f t="shared" si="28"/>
        <v/>
      </c>
      <c r="I141" s="609" t="str">
        <f t="shared" si="29"/>
        <v/>
      </c>
      <c r="J141" s="609" t="str">
        <f t="shared" si="29"/>
        <v/>
      </c>
      <c r="K141" s="609" t="str">
        <f t="shared" si="29"/>
        <v/>
      </c>
      <c r="L141" s="609" t="str">
        <f t="shared" si="29"/>
        <v/>
      </c>
      <c r="M141" s="609" t="str">
        <f t="shared" si="29"/>
        <v/>
      </c>
      <c r="N141" s="609" t="str">
        <f t="shared" si="29"/>
        <v/>
      </c>
      <c r="O141" s="609" t="str">
        <f t="shared" si="29"/>
        <v/>
      </c>
      <c r="P141" s="609" t="str">
        <f t="shared" si="29"/>
        <v/>
      </c>
      <c r="Q141" s="609" t="str">
        <f t="shared" si="29"/>
        <v/>
      </c>
      <c r="R141" s="609" t="str">
        <f t="shared" si="29"/>
        <v/>
      </c>
      <c r="S141" s="609" t="str">
        <f t="shared" si="29"/>
        <v/>
      </c>
      <c r="T141" s="609" t="str">
        <f t="shared" si="29"/>
        <v/>
      </c>
      <c r="U141" s="609" t="str">
        <f t="shared" si="29"/>
        <v/>
      </c>
      <c r="V141" s="609" t="str">
        <f t="shared" si="29"/>
        <v/>
      </c>
      <c r="W141" s="609" t="str">
        <f t="shared" si="29"/>
        <v/>
      </c>
      <c r="X141" s="609" t="str">
        <f t="shared" si="29"/>
        <v/>
      </c>
      <c r="Y141" s="609" t="str">
        <f t="shared" si="29"/>
        <v/>
      </c>
      <c r="Z141" s="609" t="str">
        <f t="shared" si="29"/>
        <v/>
      </c>
      <c r="AA141" s="609" t="str">
        <f t="shared" si="29"/>
        <v/>
      </c>
      <c r="AB141" s="609" t="str">
        <f t="shared" si="29"/>
        <v/>
      </c>
      <c r="AC141" s="609" t="str">
        <f t="shared" si="29"/>
        <v/>
      </c>
      <c r="AD141" s="609" t="str">
        <f t="shared" si="29"/>
        <v/>
      </c>
      <c r="AE141" s="609" t="str">
        <f t="shared" si="29"/>
        <v/>
      </c>
      <c r="AF141" s="609" t="str">
        <f t="shared" si="29"/>
        <v/>
      </c>
      <c r="AG141" s="609" t="str">
        <f t="shared" si="29"/>
        <v/>
      </c>
      <c r="AH141" s="609" t="str">
        <f t="shared" si="29"/>
        <v/>
      </c>
      <c r="AI141" s="609" t="str">
        <f t="shared" si="29"/>
        <v/>
      </c>
      <c r="AJ141" s="609" t="str">
        <f t="shared" si="29"/>
        <v/>
      </c>
      <c r="AK141" s="609" t="str">
        <f t="shared" si="29"/>
        <v/>
      </c>
      <c r="AL141" s="609" t="str">
        <f t="shared" si="29"/>
        <v/>
      </c>
      <c r="AM141" s="609" t="str">
        <f t="shared" si="29"/>
        <v/>
      </c>
      <c r="AN141" s="609" t="str">
        <f t="shared" si="29"/>
        <v/>
      </c>
      <c r="AO141" s="609" t="str">
        <f t="shared" si="29"/>
        <v/>
      </c>
      <c r="AP141" s="609" t="str">
        <f t="shared" si="29"/>
        <v/>
      </c>
      <c r="AQ141" s="609" t="str">
        <f t="shared" si="29"/>
        <v/>
      </c>
      <c r="AR141" s="609" t="str">
        <f t="shared" si="29"/>
        <v/>
      </c>
      <c r="AS141" s="609" t="str">
        <f t="shared" si="29"/>
        <v/>
      </c>
      <c r="AT141" s="609" t="str">
        <f t="shared" si="29"/>
        <v/>
      </c>
      <c r="AU141" s="609" t="str">
        <f t="shared" si="29"/>
        <v/>
      </c>
      <c r="AV141" s="609" t="str">
        <f t="shared" si="29"/>
        <v/>
      </c>
      <c r="AW141" s="609" t="str">
        <f t="shared" si="29"/>
        <v/>
      </c>
      <c r="AX141" s="609" t="str">
        <f t="shared" si="29"/>
        <v/>
      </c>
      <c r="AY141" s="609" t="str">
        <f t="shared" si="29"/>
        <v/>
      </c>
      <c r="AZ141" s="609" t="str">
        <f t="shared" si="29"/>
        <v/>
      </c>
      <c r="BA141" s="609" t="str">
        <f t="shared" si="29"/>
        <v/>
      </c>
      <c r="BB141" s="609" t="str">
        <f t="shared" si="29"/>
        <v/>
      </c>
      <c r="BC141" s="609" t="str">
        <f t="shared" si="29"/>
        <v/>
      </c>
      <c r="BD141" s="609" t="str">
        <f t="shared" si="29"/>
        <v/>
      </c>
      <c r="BE141" s="609" t="str">
        <f t="shared" si="29"/>
        <v/>
      </c>
      <c r="BF141" s="609" t="str">
        <f t="shared" si="29"/>
        <v/>
      </c>
      <c r="BG141" s="609" t="str">
        <f t="shared" si="29"/>
        <v/>
      </c>
    </row>
    <row r="142" spans="2:59" x14ac:dyDescent="0.25">
      <c r="B142" s="654">
        <v>136</v>
      </c>
      <c r="C142" s="654"/>
      <c r="D142" s="654"/>
      <c r="E142" s="655"/>
      <c r="F142" s="654"/>
      <c r="H142" s="609" t="str">
        <f t="shared" si="28"/>
        <v/>
      </c>
      <c r="I142" s="609" t="str">
        <f t="shared" si="29"/>
        <v/>
      </c>
      <c r="J142" s="609" t="str">
        <f t="shared" si="29"/>
        <v/>
      </c>
      <c r="K142" s="609" t="str">
        <f t="shared" si="29"/>
        <v/>
      </c>
      <c r="L142" s="609" t="str">
        <f t="shared" si="29"/>
        <v/>
      </c>
      <c r="M142" s="609" t="str">
        <f t="shared" si="29"/>
        <v/>
      </c>
      <c r="N142" s="609" t="str">
        <f t="shared" si="29"/>
        <v/>
      </c>
      <c r="O142" s="609" t="str">
        <f t="shared" si="29"/>
        <v/>
      </c>
      <c r="P142" s="609" t="str">
        <f t="shared" si="29"/>
        <v/>
      </c>
      <c r="Q142" s="609" t="str">
        <f t="shared" si="29"/>
        <v/>
      </c>
      <c r="R142" s="609" t="str">
        <f t="shared" si="29"/>
        <v/>
      </c>
      <c r="S142" s="609" t="str">
        <f t="shared" si="29"/>
        <v/>
      </c>
      <c r="T142" s="609" t="str">
        <f t="shared" si="29"/>
        <v/>
      </c>
      <c r="U142" s="609" t="str">
        <f t="shared" si="29"/>
        <v/>
      </c>
      <c r="V142" s="609" t="str">
        <f t="shared" si="29"/>
        <v/>
      </c>
      <c r="W142" s="609" t="str">
        <f t="shared" si="29"/>
        <v/>
      </c>
      <c r="X142" s="609" t="str">
        <f t="shared" si="29"/>
        <v/>
      </c>
      <c r="Y142" s="609" t="str">
        <f t="shared" si="29"/>
        <v/>
      </c>
      <c r="Z142" s="609" t="str">
        <f t="shared" si="29"/>
        <v/>
      </c>
      <c r="AA142" s="609" t="str">
        <f t="shared" si="29"/>
        <v/>
      </c>
      <c r="AB142" s="609" t="str">
        <f t="shared" si="29"/>
        <v/>
      </c>
      <c r="AC142" s="609" t="str">
        <f t="shared" si="29"/>
        <v/>
      </c>
      <c r="AD142" s="609" t="str">
        <f t="shared" si="29"/>
        <v/>
      </c>
      <c r="AE142" s="609" t="str">
        <f t="shared" si="29"/>
        <v/>
      </c>
      <c r="AF142" s="609" t="str">
        <f t="shared" si="29"/>
        <v/>
      </c>
      <c r="AG142" s="609" t="str">
        <f t="shared" si="29"/>
        <v/>
      </c>
      <c r="AH142" s="609" t="str">
        <f t="shared" si="29"/>
        <v/>
      </c>
      <c r="AI142" s="609" t="str">
        <f t="shared" si="29"/>
        <v/>
      </c>
      <c r="AJ142" s="609" t="str">
        <f t="shared" si="29"/>
        <v/>
      </c>
      <c r="AK142" s="609" t="str">
        <f t="shared" si="29"/>
        <v/>
      </c>
      <c r="AL142" s="609" t="str">
        <f t="shared" si="29"/>
        <v/>
      </c>
      <c r="AM142" s="609" t="str">
        <f t="shared" si="29"/>
        <v/>
      </c>
      <c r="AN142" s="609" t="str">
        <f t="shared" si="29"/>
        <v/>
      </c>
      <c r="AO142" s="609" t="str">
        <f t="shared" si="29"/>
        <v/>
      </c>
      <c r="AP142" s="609" t="str">
        <f t="shared" si="29"/>
        <v/>
      </c>
      <c r="AQ142" s="609" t="str">
        <f t="shared" si="29"/>
        <v/>
      </c>
      <c r="AR142" s="609" t="str">
        <f t="shared" si="29"/>
        <v/>
      </c>
      <c r="AS142" s="609" t="str">
        <f t="shared" si="29"/>
        <v/>
      </c>
      <c r="AT142" s="609" t="str">
        <f t="shared" si="29"/>
        <v/>
      </c>
      <c r="AU142" s="609" t="str">
        <f t="shared" si="29"/>
        <v/>
      </c>
      <c r="AV142" s="609" t="str">
        <f t="shared" si="29"/>
        <v/>
      </c>
      <c r="AW142" s="609" t="str">
        <f t="shared" si="29"/>
        <v/>
      </c>
      <c r="AX142" s="609" t="str">
        <f t="shared" si="29"/>
        <v/>
      </c>
      <c r="AY142" s="609" t="str">
        <f t="shared" si="29"/>
        <v/>
      </c>
      <c r="AZ142" s="609" t="str">
        <f t="shared" si="29"/>
        <v/>
      </c>
      <c r="BA142" s="609" t="str">
        <f t="shared" si="29"/>
        <v/>
      </c>
      <c r="BB142" s="609" t="str">
        <f t="shared" ref="I142:BG147" si="30">IF($D142=BB$6,$B142&amp;", ","")</f>
        <v/>
      </c>
      <c r="BC142" s="609" t="str">
        <f t="shared" si="30"/>
        <v/>
      </c>
      <c r="BD142" s="609" t="str">
        <f t="shared" si="30"/>
        <v/>
      </c>
      <c r="BE142" s="609" t="str">
        <f t="shared" si="30"/>
        <v/>
      </c>
      <c r="BF142" s="609" t="str">
        <f t="shared" si="30"/>
        <v/>
      </c>
      <c r="BG142" s="609" t="str">
        <f t="shared" si="30"/>
        <v/>
      </c>
    </row>
    <row r="143" spans="2:59" x14ac:dyDescent="0.25">
      <c r="B143" s="654">
        <v>137</v>
      </c>
      <c r="C143" s="654"/>
      <c r="D143" s="654"/>
      <c r="E143" s="655"/>
      <c r="F143" s="654"/>
      <c r="H143" s="609" t="str">
        <f t="shared" si="28"/>
        <v/>
      </c>
      <c r="I143" s="609" t="str">
        <f t="shared" si="30"/>
        <v/>
      </c>
      <c r="J143" s="609" t="str">
        <f t="shared" si="30"/>
        <v/>
      </c>
      <c r="K143" s="609" t="str">
        <f t="shared" si="30"/>
        <v/>
      </c>
      <c r="L143" s="609" t="str">
        <f t="shared" si="30"/>
        <v/>
      </c>
      <c r="M143" s="609" t="str">
        <f t="shared" si="30"/>
        <v/>
      </c>
      <c r="N143" s="609" t="str">
        <f t="shared" si="30"/>
        <v/>
      </c>
      <c r="O143" s="609" t="str">
        <f t="shared" si="30"/>
        <v/>
      </c>
      <c r="P143" s="609" t="str">
        <f t="shared" si="30"/>
        <v/>
      </c>
      <c r="Q143" s="609" t="str">
        <f t="shared" si="30"/>
        <v/>
      </c>
      <c r="R143" s="609" t="str">
        <f t="shared" si="30"/>
        <v/>
      </c>
      <c r="S143" s="609" t="str">
        <f t="shared" si="30"/>
        <v/>
      </c>
      <c r="T143" s="609" t="str">
        <f t="shared" si="30"/>
        <v/>
      </c>
      <c r="U143" s="609" t="str">
        <f t="shared" si="30"/>
        <v/>
      </c>
      <c r="V143" s="609" t="str">
        <f t="shared" si="30"/>
        <v/>
      </c>
      <c r="W143" s="609" t="str">
        <f t="shared" si="30"/>
        <v/>
      </c>
      <c r="X143" s="609" t="str">
        <f t="shared" si="30"/>
        <v/>
      </c>
      <c r="Y143" s="609" t="str">
        <f t="shared" si="30"/>
        <v/>
      </c>
      <c r="Z143" s="609" t="str">
        <f t="shared" si="30"/>
        <v/>
      </c>
      <c r="AA143" s="609" t="str">
        <f t="shared" si="30"/>
        <v/>
      </c>
      <c r="AB143" s="609" t="str">
        <f t="shared" si="30"/>
        <v/>
      </c>
      <c r="AC143" s="609" t="str">
        <f t="shared" si="30"/>
        <v/>
      </c>
      <c r="AD143" s="609" t="str">
        <f t="shared" si="30"/>
        <v/>
      </c>
      <c r="AE143" s="609" t="str">
        <f t="shared" si="30"/>
        <v/>
      </c>
      <c r="AF143" s="609" t="str">
        <f t="shared" si="30"/>
        <v/>
      </c>
      <c r="AG143" s="609" t="str">
        <f t="shared" si="30"/>
        <v/>
      </c>
      <c r="AH143" s="609" t="str">
        <f t="shared" si="30"/>
        <v/>
      </c>
      <c r="AI143" s="609" t="str">
        <f t="shared" si="30"/>
        <v/>
      </c>
      <c r="AJ143" s="609" t="str">
        <f t="shared" si="30"/>
        <v/>
      </c>
      <c r="AK143" s="609" t="str">
        <f t="shared" si="30"/>
        <v/>
      </c>
      <c r="AL143" s="609" t="str">
        <f t="shared" si="30"/>
        <v/>
      </c>
      <c r="AM143" s="609" t="str">
        <f t="shared" si="30"/>
        <v/>
      </c>
      <c r="AN143" s="609" t="str">
        <f t="shared" si="30"/>
        <v/>
      </c>
      <c r="AO143" s="609" t="str">
        <f t="shared" si="30"/>
        <v/>
      </c>
      <c r="AP143" s="609" t="str">
        <f t="shared" si="30"/>
        <v/>
      </c>
      <c r="AQ143" s="609" t="str">
        <f t="shared" si="30"/>
        <v/>
      </c>
      <c r="AR143" s="609" t="str">
        <f t="shared" si="30"/>
        <v/>
      </c>
      <c r="AS143" s="609" t="str">
        <f t="shared" si="30"/>
        <v/>
      </c>
      <c r="AT143" s="609" t="str">
        <f t="shared" si="30"/>
        <v/>
      </c>
      <c r="AU143" s="609" t="str">
        <f t="shared" si="30"/>
        <v/>
      </c>
      <c r="AV143" s="609" t="str">
        <f t="shared" si="30"/>
        <v/>
      </c>
      <c r="AW143" s="609" t="str">
        <f t="shared" si="30"/>
        <v/>
      </c>
      <c r="AX143" s="609" t="str">
        <f t="shared" si="30"/>
        <v/>
      </c>
      <c r="AY143" s="609" t="str">
        <f t="shared" si="30"/>
        <v/>
      </c>
      <c r="AZ143" s="609" t="str">
        <f t="shared" si="30"/>
        <v/>
      </c>
      <c r="BA143" s="609" t="str">
        <f t="shared" si="30"/>
        <v/>
      </c>
      <c r="BB143" s="609" t="str">
        <f t="shared" si="30"/>
        <v/>
      </c>
      <c r="BC143" s="609" t="str">
        <f t="shared" si="30"/>
        <v/>
      </c>
      <c r="BD143" s="609" t="str">
        <f t="shared" si="30"/>
        <v/>
      </c>
      <c r="BE143" s="609" t="str">
        <f t="shared" si="30"/>
        <v/>
      </c>
      <c r="BF143" s="609" t="str">
        <f t="shared" si="30"/>
        <v/>
      </c>
      <c r="BG143" s="609" t="str">
        <f t="shared" si="30"/>
        <v/>
      </c>
    </row>
    <row r="144" spans="2:59" x14ac:dyDescent="0.25">
      <c r="B144" s="654">
        <v>138</v>
      </c>
      <c r="C144" s="654"/>
      <c r="D144" s="654"/>
      <c r="E144" s="655"/>
      <c r="F144" s="654"/>
      <c r="H144" s="609" t="str">
        <f t="shared" si="28"/>
        <v/>
      </c>
      <c r="I144" s="609" t="str">
        <f t="shared" si="30"/>
        <v/>
      </c>
      <c r="J144" s="609" t="str">
        <f t="shared" si="30"/>
        <v/>
      </c>
      <c r="K144" s="609" t="str">
        <f t="shared" si="30"/>
        <v/>
      </c>
      <c r="L144" s="609" t="str">
        <f t="shared" si="30"/>
        <v/>
      </c>
      <c r="M144" s="609" t="str">
        <f t="shared" si="30"/>
        <v/>
      </c>
      <c r="N144" s="609" t="str">
        <f t="shared" si="30"/>
        <v/>
      </c>
      <c r="O144" s="609" t="str">
        <f t="shared" si="30"/>
        <v/>
      </c>
      <c r="P144" s="609" t="str">
        <f t="shared" si="30"/>
        <v/>
      </c>
      <c r="Q144" s="609" t="str">
        <f t="shared" si="30"/>
        <v/>
      </c>
      <c r="R144" s="609" t="str">
        <f t="shared" si="30"/>
        <v/>
      </c>
      <c r="S144" s="609" t="str">
        <f t="shared" si="30"/>
        <v/>
      </c>
      <c r="T144" s="609" t="str">
        <f t="shared" si="30"/>
        <v/>
      </c>
      <c r="U144" s="609" t="str">
        <f t="shared" si="30"/>
        <v/>
      </c>
      <c r="V144" s="609" t="str">
        <f t="shared" si="30"/>
        <v/>
      </c>
      <c r="W144" s="609" t="str">
        <f t="shared" si="30"/>
        <v/>
      </c>
      <c r="X144" s="609" t="str">
        <f t="shared" si="30"/>
        <v/>
      </c>
      <c r="Y144" s="609" t="str">
        <f t="shared" si="30"/>
        <v/>
      </c>
      <c r="Z144" s="609" t="str">
        <f t="shared" si="30"/>
        <v/>
      </c>
      <c r="AA144" s="609" t="str">
        <f t="shared" si="30"/>
        <v/>
      </c>
      <c r="AB144" s="609" t="str">
        <f t="shared" si="30"/>
        <v/>
      </c>
      <c r="AC144" s="609" t="str">
        <f t="shared" si="30"/>
        <v/>
      </c>
      <c r="AD144" s="609" t="str">
        <f t="shared" si="30"/>
        <v/>
      </c>
      <c r="AE144" s="609" t="str">
        <f t="shared" si="30"/>
        <v/>
      </c>
      <c r="AF144" s="609" t="str">
        <f t="shared" si="30"/>
        <v/>
      </c>
      <c r="AG144" s="609" t="str">
        <f t="shared" si="30"/>
        <v/>
      </c>
      <c r="AH144" s="609" t="str">
        <f t="shared" si="30"/>
        <v/>
      </c>
      <c r="AI144" s="609" t="str">
        <f t="shared" si="30"/>
        <v/>
      </c>
      <c r="AJ144" s="609" t="str">
        <f t="shared" si="30"/>
        <v/>
      </c>
      <c r="AK144" s="609" t="str">
        <f t="shared" si="30"/>
        <v/>
      </c>
      <c r="AL144" s="609" t="str">
        <f t="shared" si="30"/>
        <v/>
      </c>
      <c r="AM144" s="609" t="str">
        <f t="shared" si="30"/>
        <v/>
      </c>
      <c r="AN144" s="609" t="str">
        <f t="shared" si="30"/>
        <v/>
      </c>
      <c r="AO144" s="609" t="str">
        <f t="shared" si="30"/>
        <v/>
      </c>
      <c r="AP144" s="609" t="str">
        <f t="shared" si="30"/>
        <v/>
      </c>
      <c r="AQ144" s="609" t="str">
        <f t="shared" si="30"/>
        <v/>
      </c>
      <c r="AR144" s="609" t="str">
        <f t="shared" si="30"/>
        <v/>
      </c>
      <c r="AS144" s="609" t="str">
        <f t="shared" si="30"/>
        <v/>
      </c>
      <c r="AT144" s="609" t="str">
        <f t="shared" si="30"/>
        <v/>
      </c>
      <c r="AU144" s="609" t="str">
        <f t="shared" si="30"/>
        <v/>
      </c>
      <c r="AV144" s="609" t="str">
        <f t="shared" si="30"/>
        <v/>
      </c>
      <c r="AW144" s="609" t="str">
        <f t="shared" si="30"/>
        <v/>
      </c>
      <c r="AX144" s="609" t="str">
        <f t="shared" si="30"/>
        <v/>
      </c>
      <c r="AY144" s="609" t="str">
        <f t="shared" si="30"/>
        <v/>
      </c>
      <c r="AZ144" s="609" t="str">
        <f t="shared" si="30"/>
        <v/>
      </c>
      <c r="BA144" s="609" t="str">
        <f t="shared" si="30"/>
        <v/>
      </c>
      <c r="BB144" s="609" t="str">
        <f t="shared" si="30"/>
        <v/>
      </c>
      <c r="BC144" s="609" t="str">
        <f t="shared" si="30"/>
        <v/>
      </c>
      <c r="BD144" s="609" t="str">
        <f t="shared" si="30"/>
        <v/>
      </c>
      <c r="BE144" s="609" t="str">
        <f t="shared" si="30"/>
        <v/>
      </c>
      <c r="BF144" s="609" t="str">
        <f t="shared" si="30"/>
        <v/>
      </c>
      <c r="BG144" s="609" t="str">
        <f t="shared" si="30"/>
        <v/>
      </c>
    </row>
    <row r="145" spans="2:59" x14ac:dyDescent="0.25">
      <c r="B145" s="654">
        <v>139</v>
      </c>
      <c r="C145" s="654"/>
      <c r="D145" s="654"/>
      <c r="E145" s="655"/>
      <c r="F145" s="654"/>
      <c r="H145" s="609" t="str">
        <f t="shared" si="28"/>
        <v/>
      </c>
      <c r="I145" s="609" t="str">
        <f t="shared" si="30"/>
        <v/>
      </c>
      <c r="J145" s="609" t="str">
        <f t="shared" si="30"/>
        <v/>
      </c>
      <c r="K145" s="609" t="str">
        <f t="shared" si="30"/>
        <v/>
      </c>
      <c r="L145" s="609" t="str">
        <f t="shared" si="30"/>
        <v/>
      </c>
      <c r="M145" s="609" t="str">
        <f t="shared" si="30"/>
        <v/>
      </c>
      <c r="N145" s="609" t="str">
        <f t="shared" si="30"/>
        <v/>
      </c>
      <c r="O145" s="609" t="str">
        <f t="shared" si="30"/>
        <v/>
      </c>
      <c r="P145" s="609" t="str">
        <f t="shared" si="30"/>
        <v/>
      </c>
      <c r="Q145" s="609" t="str">
        <f t="shared" si="30"/>
        <v/>
      </c>
      <c r="R145" s="609" t="str">
        <f t="shared" si="30"/>
        <v/>
      </c>
      <c r="S145" s="609" t="str">
        <f t="shared" si="30"/>
        <v/>
      </c>
      <c r="T145" s="609" t="str">
        <f t="shared" si="30"/>
        <v/>
      </c>
      <c r="U145" s="609" t="str">
        <f t="shared" si="30"/>
        <v/>
      </c>
      <c r="V145" s="609" t="str">
        <f t="shared" si="30"/>
        <v/>
      </c>
      <c r="W145" s="609" t="str">
        <f t="shared" si="30"/>
        <v/>
      </c>
      <c r="X145" s="609" t="str">
        <f t="shared" si="30"/>
        <v/>
      </c>
      <c r="Y145" s="609" t="str">
        <f t="shared" si="30"/>
        <v/>
      </c>
      <c r="Z145" s="609" t="str">
        <f t="shared" si="30"/>
        <v/>
      </c>
      <c r="AA145" s="609" t="str">
        <f t="shared" si="30"/>
        <v/>
      </c>
      <c r="AB145" s="609" t="str">
        <f t="shared" si="30"/>
        <v/>
      </c>
      <c r="AC145" s="609" t="str">
        <f t="shared" si="30"/>
        <v/>
      </c>
      <c r="AD145" s="609" t="str">
        <f t="shared" si="30"/>
        <v/>
      </c>
      <c r="AE145" s="609" t="str">
        <f t="shared" si="30"/>
        <v/>
      </c>
      <c r="AF145" s="609" t="str">
        <f t="shared" si="30"/>
        <v/>
      </c>
      <c r="AG145" s="609" t="str">
        <f t="shared" si="30"/>
        <v/>
      </c>
      <c r="AH145" s="609" t="str">
        <f t="shared" si="30"/>
        <v/>
      </c>
      <c r="AI145" s="609" t="str">
        <f t="shared" si="30"/>
        <v/>
      </c>
      <c r="AJ145" s="609" t="str">
        <f t="shared" si="30"/>
        <v/>
      </c>
      <c r="AK145" s="609" t="str">
        <f t="shared" si="30"/>
        <v/>
      </c>
      <c r="AL145" s="609" t="str">
        <f t="shared" si="30"/>
        <v/>
      </c>
      <c r="AM145" s="609" t="str">
        <f t="shared" si="30"/>
        <v/>
      </c>
      <c r="AN145" s="609" t="str">
        <f t="shared" si="30"/>
        <v/>
      </c>
      <c r="AO145" s="609" t="str">
        <f t="shared" si="30"/>
        <v/>
      </c>
      <c r="AP145" s="609" t="str">
        <f t="shared" si="30"/>
        <v/>
      </c>
      <c r="AQ145" s="609" t="str">
        <f t="shared" si="30"/>
        <v/>
      </c>
      <c r="AR145" s="609" t="str">
        <f t="shared" si="30"/>
        <v/>
      </c>
      <c r="AS145" s="609" t="str">
        <f t="shared" si="30"/>
        <v/>
      </c>
      <c r="AT145" s="609" t="str">
        <f t="shared" si="30"/>
        <v/>
      </c>
      <c r="AU145" s="609" t="str">
        <f t="shared" si="30"/>
        <v/>
      </c>
      <c r="AV145" s="609" t="str">
        <f t="shared" si="30"/>
        <v/>
      </c>
      <c r="AW145" s="609" t="str">
        <f t="shared" si="30"/>
        <v/>
      </c>
      <c r="AX145" s="609" t="str">
        <f t="shared" si="30"/>
        <v/>
      </c>
      <c r="AY145" s="609" t="str">
        <f t="shared" si="30"/>
        <v/>
      </c>
      <c r="AZ145" s="609" t="str">
        <f t="shared" si="30"/>
        <v/>
      </c>
      <c r="BA145" s="609" t="str">
        <f t="shared" si="30"/>
        <v/>
      </c>
      <c r="BB145" s="609" t="str">
        <f t="shared" si="30"/>
        <v/>
      </c>
      <c r="BC145" s="609" t="str">
        <f t="shared" si="30"/>
        <v/>
      </c>
      <c r="BD145" s="609" t="str">
        <f t="shared" si="30"/>
        <v/>
      </c>
      <c r="BE145" s="609" t="str">
        <f t="shared" si="30"/>
        <v/>
      </c>
      <c r="BF145" s="609" t="str">
        <f t="shared" si="30"/>
        <v/>
      </c>
      <c r="BG145" s="609" t="str">
        <f t="shared" si="30"/>
        <v/>
      </c>
    </row>
    <row r="146" spans="2:59" x14ac:dyDescent="0.25">
      <c r="B146" s="654">
        <v>140</v>
      </c>
      <c r="C146" s="654"/>
      <c r="D146" s="654"/>
      <c r="E146" s="655"/>
      <c r="F146" s="654"/>
      <c r="H146" s="609" t="str">
        <f t="shared" si="28"/>
        <v/>
      </c>
      <c r="I146" s="609" t="str">
        <f t="shared" si="30"/>
        <v/>
      </c>
      <c r="J146" s="609" t="str">
        <f t="shared" si="30"/>
        <v/>
      </c>
      <c r="K146" s="609" t="str">
        <f t="shared" si="30"/>
        <v/>
      </c>
      <c r="L146" s="609" t="str">
        <f t="shared" si="30"/>
        <v/>
      </c>
      <c r="M146" s="609" t="str">
        <f t="shared" si="30"/>
        <v/>
      </c>
      <c r="N146" s="609" t="str">
        <f t="shared" si="30"/>
        <v/>
      </c>
      <c r="O146" s="609" t="str">
        <f t="shared" si="30"/>
        <v/>
      </c>
      <c r="P146" s="609" t="str">
        <f t="shared" si="30"/>
        <v/>
      </c>
      <c r="Q146" s="609" t="str">
        <f t="shared" si="30"/>
        <v/>
      </c>
      <c r="R146" s="609" t="str">
        <f t="shared" si="30"/>
        <v/>
      </c>
      <c r="S146" s="609" t="str">
        <f t="shared" si="30"/>
        <v/>
      </c>
      <c r="T146" s="609" t="str">
        <f t="shared" si="30"/>
        <v/>
      </c>
      <c r="U146" s="609" t="str">
        <f t="shared" si="30"/>
        <v/>
      </c>
      <c r="V146" s="609" t="str">
        <f t="shared" si="30"/>
        <v/>
      </c>
      <c r="W146" s="609" t="str">
        <f t="shared" si="30"/>
        <v/>
      </c>
      <c r="X146" s="609" t="str">
        <f t="shared" si="30"/>
        <v/>
      </c>
      <c r="Y146" s="609" t="str">
        <f t="shared" si="30"/>
        <v/>
      </c>
      <c r="Z146" s="609" t="str">
        <f t="shared" si="30"/>
        <v/>
      </c>
      <c r="AA146" s="609" t="str">
        <f t="shared" si="30"/>
        <v/>
      </c>
      <c r="AB146" s="609" t="str">
        <f t="shared" si="30"/>
        <v/>
      </c>
      <c r="AC146" s="609" t="str">
        <f t="shared" si="30"/>
        <v/>
      </c>
      <c r="AD146" s="609" t="str">
        <f t="shared" si="30"/>
        <v/>
      </c>
      <c r="AE146" s="609" t="str">
        <f t="shared" si="30"/>
        <v/>
      </c>
      <c r="AF146" s="609" t="str">
        <f t="shared" si="30"/>
        <v/>
      </c>
      <c r="AG146" s="609" t="str">
        <f t="shared" si="30"/>
        <v/>
      </c>
      <c r="AH146" s="609" t="str">
        <f t="shared" si="30"/>
        <v/>
      </c>
      <c r="AI146" s="609" t="str">
        <f t="shared" si="30"/>
        <v/>
      </c>
      <c r="AJ146" s="609" t="str">
        <f t="shared" si="30"/>
        <v/>
      </c>
      <c r="AK146" s="609" t="str">
        <f t="shared" si="30"/>
        <v/>
      </c>
      <c r="AL146" s="609" t="str">
        <f t="shared" si="30"/>
        <v/>
      </c>
      <c r="AM146" s="609" t="str">
        <f t="shared" si="30"/>
        <v/>
      </c>
      <c r="AN146" s="609" t="str">
        <f t="shared" si="30"/>
        <v/>
      </c>
      <c r="AO146" s="609" t="str">
        <f t="shared" si="30"/>
        <v/>
      </c>
      <c r="AP146" s="609" t="str">
        <f t="shared" si="30"/>
        <v/>
      </c>
      <c r="AQ146" s="609" t="str">
        <f t="shared" si="30"/>
        <v/>
      </c>
      <c r="AR146" s="609" t="str">
        <f t="shared" si="30"/>
        <v/>
      </c>
      <c r="AS146" s="609" t="str">
        <f t="shared" si="30"/>
        <v/>
      </c>
      <c r="AT146" s="609" t="str">
        <f t="shared" si="30"/>
        <v/>
      </c>
      <c r="AU146" s="609" t="str">
        <f t="shared" si="30"/>
        <v/>
      </c>
      <c r="AV146" s="609" t="str">
        <f t="shared" si="30"/>
        <v/>
      </c>
      <c r="AW146" s="609" t="str">
        <f t="shared" si="30"/>
        <v/>
      </c>
      <c r="AX146" s="609" t="str">
        <f t="shared" si="30"/>
        <v/>
      </c>
      <c r="AY146" s="609" t="str">
        <f t="shared" si="30"/>
        <v/>
      </c>
      <c r="AZ146" s="609" t="str">
        <f t="shared" si="30"/>
        <v/>
      </c>
      <c r="BA146" s="609" t="str">
        <f t="shared" si="30"/>
        <v/>
      </c>
      <c r="BB146" s="609" t="str">
        <f t="shared" si="30"/>
        <v/>
      </c>
      <c r="BC146" s="609" t="str">
        <f t="shared" si="30"/>
        <v/>
      </c>
      <c r="BD146" s="609" t="str">
        <f t="shared" si="30"/>
        <v/>
      </c>
      <c r="BE146" s="609" t="str">
        <f t="shared" si="30"/>
        <v/>
      </c>
      <c r="BF146" s="609" t="str">
        <f t="shared" si="30"/>
        <v/>
      </c>
      <c r="BG146" s="609" t="str">
        <f t="shared" si="30"/>
        <v/>
      </c>
    </row>
    <row r="147" spans="2:59" x14ac:dyDescent="0.25">
      <c r="B147" s="654">
        <v>141</v>
      </c>
      <c r="C147" s="654"/>
      <c r="D147" s="654"/>
      <c r="E147" s="655"/>
      <c r="F147" s="654"/>
      <c r="H147" s="609" t="str">
        <f t="shared" si="28"/>
        <v/>
      </c>
      <c r="I147" s="609" t="str">
        <f t="shared" si="30"/>
        <v/>
      </c>
      <c r="J147" s="609" t="str">
        <f t="shared" si="30"/>
        <v/>
      </c>
      <c r="K147" s="609" t="str">
        <f t="shared" si="30"/>
        <v/>
      </c>
      <c r="L147" s="609" t="str">
        <f t="shared" si="30"/>
        <v/>
      </c>
      <c r="M147" s="609" t="str">
        <f t="shared" si="30"/>
        <v/>
      </c>
      <c r="N147" s="609" t="str">
        <f t="shared" si="30"/>
        <v/>
      </c>
      <c r="O147" s="609" t="str">
        <f t="shared" si="30"/>
        <v/>
      </c>
      <c r="P147" s="609" t="str">
        <f t="shared" si="30"/>
        <v/>
      </c>
      <c r="Q147" s="609" t="str">
        <f t="shared" si="30"/>
        <v/>
      </c>
      <c r="R147" s="609" t="str">
        <f t="shared" si="30"/>
        <v/>
      </c>
      <c r="S147" s="609" t="str">
        <f t="shared" si="30"/>
        <v/>
      </c>
      <c r="T147" s="609" t="str">
        <f t="shared" si="30"/>
        <v/>
      </c>
      <c r="U147" s="609" t="str">
        <f t="shared" si="30"/>
        <v/>
      </c>
      <c r="V147" s="609" t="str">
        <f t="shared" si="30"/>
        <v/>
      </c>
      <c r="W147" s="609" t="str">
        <f t="shared" si="30"/>
        <v/>
      </c>
      <c r="X147" s="609" t="str">
        <f t="shared" si="30"/>
        <v/>
      </c>
      <c r="Y147" s="609" t="str">
        <f t="shared" si="30"/>
        <v/>
      </c>
      <c r="Z147" s="609" t="str">
        <f t="shared" si="30"/>
        <v/>
      </c>
      <c r="AA147" s="609" t="str">
        <f t="shared" si="30"/>
        <v/>
      </c>
      <c r="AB147" s="609" t="str">
        <f t="shared" si="30"/>
        <v/>
      </c>
      <c r="AC147" s="609" t="str">
        <f t="shared" si="30"/>
        <v/>
      </c>
      <c r="AD147" s="609" t="str">
        <f t="shared" si="30"/>
        <v/>
      </c>
      <c r="AE147" s="609" t="str">
        <f t="shared" si="30"/>
        <v/>
      </c>
      <c r="AF147" s="609" t="str">
        <f t="shared" si="30"/>
        <v/>
      </c>
      <c r="AG147" s="609" t="str">
        <f t="shared" si="30"/>
        <v/>
      </c>
      <c r="AH147" s="609" t="str">
        <f t="shared" si="30"/>
        <v/>
      </c>
      <c r="AI147" s="609" t="str">
        <f t="shared" si="30"/>
        <v/>
      </c>
      <c r="AJ147" s="609" t="str">
        <f t="shared" si="30"/>
        <v/>
      </c>
      <c r="AK147" s="609" t="str">
        <f t="shared" si="30"/>
        <v/>
      </c>
      <c r="AL147" s="609" t="str">
        <f t="shared" si="30"/>
        <v/>
      </c>
      <c r="AM147" s="609" t="str">
        <f t="shared" si="30"/>
        <v/>
      </c>
      <c r="AN147" s="609" t="str">
        <f t="shared" si="30"/>
        <v/>
      </c>
      <c r="AO147" s="609" t="str">
        <f t="shared" si="30"/>
        <v/>
      </c>
      <c r="AP147" s="609" t="str">
        <f t="shared" si="30"/>
        <v/>
      </c>
      <c r="AQ147" s="609" t="str">
        <f t="shared" si="30"/>
        <v/>
      </c>
      <c r="AR147" s="609" t="str">
        <f t="shared" si="30"/>
        <v/>
      </c>
      <c r="AS147" s="609" t="str">
        <f t="shared" si="30"/>
        <v/>
      </c>
      <c r="AT147" s="609" t="str">
        <f t="shared" si="30"/>
        <v/>
      </c>
      <c r="AU147" s="609" t="str">
        <f t="shared" si="30"/>
        <v/>
      </c>
      <c r="AV147" s="609" t="str">
        <f t="shared" si="30"/>
        <v/>
      </c>
      <c r="AW147" s="609" t="str">
        <f t="shared" si="30"/>
        <v/>
      </c>
      <c r="AX147" s="609" t="str">
        <f t="shared" si="30"/>
        <v/>
      </c>
      <c r="AY147" s="609" t="str">
        <f t="shared" si="30"/>
        <v/>
      </c>
      <c r="AZ147" s="609" t="str">
        <f t="shared" si="30"/>
        <v/>
      </c>
      <c r="BA147" s="609" t="str">
        <f t="shared" si="30"/>
        <v/>
      </c>
      <c r="BB147" s="609" t="str">
        <f t="shared" ref="I147:BG152" si="31">IF($D147=BB$6,$B147&amp;", ","")</f>
        <v/>
      </c>
      <c r="BC147" s="609" t="str">
        <f t="shared" si="31"/>
        <v/>
      </c>
      <c r="BD147" s="609" t="str">
        <f t="shared" si="31"/>
        <v/>
      </c>
      <c r="BE147" s="609" t="str">
        <f t="shared" si="31"/>
        <v/>
      </c>
      <c r="BF147" s="609" t="str">
        <f t="shared" si="31"/>
        <v/>
      </c>
      <c r="BG147" s="609" t="str">
        <f t="shared" si="31"/>
        <v/>
      </c>
    </row>
    <row r="148" spans="2:59" x14ac:dyDescent="0.25">
      <c r="B148" s="654">
        <v>142</v>
      </c>
      <c r="C148" s="654"/>
      <c r="D148" s="654"/>
      <c r="E148" s="655"/>
      <c r="F148" s="654"/>
      <c r="H148" s="609" t="str">
        <f t="shared" si="28"/>
        <v/>
      </c>
      <c r="I148" s="609" t="str">
        <f t="shared" si="31"/>
        <v/>
      </c>
      <c r="J148" s="609" t="str">
        <f t="shared" si="31"/>
        <v/>
      </c>
      <c r="K148" s="609" t="str">
        <f t="shared" si="31"/>
        <v/>
      </c>
      <c r="L148" s="609" t="str">
        <f t="shared" si="31"/>
        <v/>
      </c>
      <c r="M148" s="609" t="str">
        <f t="shared" si="31"/>
        <v/>
      </c>
      <c r="N148" s="609" t="str">
        <f t="shared" si="31"/>
        <v/>
      </c>
      <c r="O148" s="609" t="str">
        <f t="shared" si="31"/>
        <v/>
      </c>
      <c r="P148" s="609" t="str">
        <f t="shared" si="31"/>
        <v/>
      </c>
      <c r="Q148" s="609" t="str">
        <f t="shared" si="31"/>
        <v/>
      </c>
      <c r="R148" s="609" t="str">
        <f t="shared" si="31"/>
        <v/>
      </c>
      <c r="S148" s="609" t="str">
        <f t="shared" si="31"/>
        <v/>
      </c>
      <c r="T148" s="609" t="str">
        <f t="shared" si="31"/>
        <v/>
      </c>
      <c r="U148" s="609" t="str">
        <f t="shared" si="31"/>
        <v/>
      </c>
      <c r="V148" s="609" t="str">
        <f t="shared" si="31"/>
        <v/>
      </c>
      <c r="W148" s="609" t="str">
        <f t="shared" si="31"/>
        <v/>
      </c>
      <c r="X148" s="609" t="str">
        <f t="shared" si="31"/>
        <v/>
      </c>
      <c r="Y148" s="609" t="str">
        <f t="shared" si="31"/>
        <v/>
      </c>
      <c r="Z148" s="609" t="str">
        <f t="shared" si="31"/>
        <v/>
      </c>
      <c r="AA148" s="609" t="str">
        <f t="shared" si="31"/>
        <v/>
      </c>
      <c r="AB148" s="609" t="str">
        <f t="shared" si="31"/>
        <v/>
      </c>
      <c r="AC148" s="609" t="str">
        <f t="shared" si="31"/>
        <v/>
      </c>
      <c r="AD148" s="609" t="str">
        <f t="shared" si="31"/>
        <v/>
      </c>
      <c r="AE148" s="609" t="str">
        <f t="shared" si="31"/>
        <v/>
      </c>
      <c r="AF148" s="609" t="str">
        <f t="shared" si="31"/>
        <v/>
      </c>
      <c r="AG148" s="609" t="str">
        <f t="shared" si="31"/>
        <v/>
      </c>
      <c r="AH148" s="609" t="str">
        <f t="shared" si="31"/>
        <v/>
      </c>
      <c r="AI148" s="609" t="str">
        <f t="shared" si="31"/>
        <v/>
      </c>
      <c r="AJ148" s="609" t="str">
        <f t="shared" si="31"/>
        <v/>
      </c>
      <c r="AK148" s="609" t="str">
        <f t="shared" si="31"/>
        <v/>
      </c>
      <c r="AL148" s="609" t="str">
        <f t="shared" si="31"/>
        <v/>
      </c>
      <c r="AM148" s="609" t="str">
        <f t="shared" si="31"/>
        <v/>
      </c>
      <c r="AN148" s="609" t="str">
        <f t="shared" si="31"/>
        <v/>
      </c>
      <c r="AO148" s="609" t="str">
        <f t="shared" si="31"/>
        <v/>
      </c>
      <c r="AP148" s="609" t="str">
        <f t="shared" si="31"/>
        <v/>
      </c>
      <c r="AQ148" s="609" t="str">
        <f t="shared" si="31"/>
        <v/>
      </c>
      <c r="AR148" s="609" t="str">
        <f t="shared" si="31"/>
        <v/>
      </c>
      <c r="AS148" s="609" t="str">
        <f t="shared" si="31"/>
        <v/>
      </c>
      <c r="AT148" s="609" t="str">
        <f t="shared" si="31"/>
        <v/>
      </c>
      <c r="AU148" s="609" t="str">
        <f t="shared" si="31"/>
        <v/>
      </c>
      <c r="AV148" s="609" t="str">
        <f t="shared" si="31"/>
        <v/>
      </c>
      <c r="AW148" s="609" t="str">
        <f t="shared" si="31"/>
        <v/>
      </c>
      <c r="AX148" s="609" t="str">
        <f t="shared" si="31"/>
        <v/>
      </c>
      <c r="AY148" s="609" t="str">
        <f t="shared" si="31"/>
        <v/>
      </c>
      <c r="AZ148" s="609" t="str">
        <f t="shared" si="31"/>
        <v/>
      </c>
      <c r="BA148" s="609" t="str">
        <f t="shared" si="31"/>
        <v/>
      </c>
      <c r="BB148" s="609" t="str">
        <f t="shared" si="31"/>
        <v/>
      </c>
      <c r="BC148" s="609" t="str">
        <f t="shared" si="31"/>
        <v/>
      </c>
      <c r="BD148" s="609" t="str">
        <f t="shared" si="31"/>
        <v/>
      </c>
      <c r="BE148" s="609" t="str">
        <f t="shared" si="31"/>
        <v/>
      </c>
      <c r="BF148" s="609" t="str">
        <f t="shared" si="31"/>
        <v/>
      </c>
      <c r="BG148" s="609" t="str">
        <f t="shared" si="31"/>
        <v/>
      </c>
    </row>
    <row r="149" spans="2:59" x14ac:dyDescent="0.25">
      <c r="B149" s="654">
        <v>143</v>
      </c>
      <c r="C149" s="654"/>
      <c r="D149" s="654"/>
      <c r="E149" s="655"/>
      <c r="F149" s="654"/>
      <c r="H149" s="609" t="str">
        <f t="shared" si="28"/>
        <v/>
      </c>
      <c r="I149" s="609" t="str">
        <f t="shared" si="31"/>
        <v/>
      </c>
      <c r="J149" s="609" t="str">
        <f t="shared" si="31"/>
        <v/>
      </c>
      <c r="K149" s="609" t="str">
        <f t="shared" si="31"/>
        <v/>
      </c>
      <c r="L149" s="609" t="str">
        <f t="shared" si="31"/>
        <v/>
      </c>
      <c r="M149" s="609" t="str">
        <f t="shared" si="31"/>
        <v/>
      </c>
      <c r="N149" s="609" t="str">
        <f t="shared" si="31"/>
        <v/>
      </c>
      <c r="O149" s="609" t="str">
        <f t="shared" si="31"/>
        <v/>
      </c>
      <c r="P149" s="609" t="str">
        <f t="shared" si="31"/>
        <v/>
      </c>
      <c r="Q149" s="609" t="str">
        <f t="shared" si="31"/>
        <v/>
      </c>
      <c r="R149" s="609" t="str">
        <f t="shared" si="31"/>
        <v/>
      </c>
      <c r="S149" s="609" t="str">
        <f t="shared" si="31"/>
        <v/>
      </c>
      <c r="T149" s="609" t="str">
        <f t="shared" si="31"/>
        <v/>
      </c>
      <c r="U149" s="609" t="str">
        <f t="shared" si="31"/>
        <v/>
      </c>
      <c r="V149" s="609" t="str">
        <f t="shared" si="31"/>
        <v/>
      </c>
      <c r="W149" s="609" t="str">
        <f t="shared" si="31"/>
        <v/>
      </c>
      <c r="X149" s="609" t="str">
        <f t="shared" si="31"/>
        <v/>
      </c>
      <c r="Y149" s="609" t="str">
        <f t="shared" si="31"/>
        <v/>
      </c>
      <c r="Z149" s="609" t="str">
        <f t="shared" si="31"/>
        <v/>
      </c>
      <c r="AA149" s="609" t="str">
        <f t="shared" si="31"/>
        <v/>
      </c>
      <c r="AB149" s="609" t="str">
        <f t="shared" si="31"/>
        <v/>
      </c>
      <c r="AC149" s="609" t="str">
        <f t="shared" si="31"/>
        <v/>
      </c>
      <c r="AD149" s="609" t="str">
        <f t="shared" si="31"/>
        <v/>
      </c>
      <c r="AE149" s="609" t="str">
        <f t="shared" si="31"/>
        <v/>
      </c>
      <c r="AF149" s="609" t="str">
        <f t="shared" si="31"/>
        <v/>
      </c>
      <c r="AG149" s="609" t="str">
        <f t="shared" si="31"/>
        <v/>
      </c>
      <c r="AH149" s="609" t="str">
        <f t="shared" si="31"/>
        <v/>
      </c>
      <c r="AI149" s="609" t="str">
        <f t="shared" si="31"/>
        <v/>
      </c>
      <c r="AJ149" s="609" t="str">
        <f t="shared" si="31"/>
        <v/>
      </c>
      <c r="AK149" s="609" t="str">
        <f t="shared" si="31"/>
        <v/>
      </c>
      <c r="AL149" s="609" t="str">
        <f t="shared" si="31"/>
        <v/>
      </c>
      <c r="AM149" s="609" t="str">
        <f t="shared" si="31"/>
        <v/>
      </c>
      <c r="AN149" s="609" t="str">
        <f t="shared" si="31"/>
        <v/>
      </c>
      <c r="AO149" s="609" t="str">
        <f t="shared" si="31"/>
        <v/>
      </c>
      <c r="AP149" s="609" t="str">
        <f t="shared" si="31"/>
        <v/>
      </c>
      <c r="AQ149" s="609" t="str">
        <f t="shared" si="31"/>
        <v/>
      </c>
      <c r="AR149" s="609" t="str">
        <f t="shared" si="31"/>
        <v/>
      </c>
      <c r="AS149" s="609" t="str">
        <f t="shared" si="31"/>
        <v/>
      </c>
      <c r="AT149" s="609" t="str">
        <f t="shared" si="31"/>
        <v/>
      </c>
      <c r="AU149" s="609" t="str">
        <f t="shared" si="31"/>
        <v/>
      </c>
      <c r="AV149" s="609" t="str">
        <f t="shared" si="31"/>
        <v/>
      </c>
      <c r="AW149" s="609" t="str">
        <f t="shared" si="31"/>
        <v/>
      </c>
      <c r="AX149" s="609" t="str">
        <f t="shared" si="31"/>
        <v/>
      </c>
      <c r="AY149" s="609" t="str">
        <f t="shared" si="31"/>
        <v/>
      </c>
      <c r="AZ149" s="609" t="str">
        <f t="shared" si="31"/>
        <v/>
      </c>
      <c r="BA149" s="609" t="str">
        <f t="shared" si="31"/>
        <v/>
      </c>
      <c r="BB149" s="609" t="str">
        <f t="shared" si="31"/>
        <v/>
      </c>
      <c r="BC149" s="609" t="str">
        <f t="shared" si="31"/>
        <v/>
      </c>
      <c r="BD149" s="609" t="str">
        <f t="shared" si="31"/>
        <v/>
      </c>
      <c r="BE149" s="609" t="str">
        <f t="shared" si="31"/>
        <v/>
      </c>
      <c r="BF149" s="609" t="str">
        <f t="shared" si="31"/>
        <v/>
      </c>
      <c r="BG149" s="609" t="str">
        <f t="shared" si="31"/>
        <v/>
      </c>
    </row>
    <row r="150" spans="2:59" x14ac:dyDescent="0.25">
      <c r="B150" s="654">
        <v>144</v>
      </c>
      <c r="C150" s="654"/>
      <c r="D150" s="654"/>
      <c r="E150" s="655"/>
      <c r="F150" s="654"/>
      <c r="H150" s="609" t="str">
        <f t="shared" si="28"/>
        <v/>
      </c>
      <c r="I150" s="609" t="str">
        <f t="shared" si="31"/>
        <v/>
      </c>
      <c r="J150" s="609" t="str">
        <f t="shared" si="31"/>
        <v/>
      </c>
      <c r="K150" s="609" t="str">
        <f t="shared" si="31"/>
        <v/>
      </c>
      <c r="L150" s="609" t="str">
        <f t="shared" si="31"/>
        <v/>
      </c>
      <c r="M150" s="609" t="str">
        <f t="shared" si="31"/>
        <v/>
      </c>
      <c r="N150" s="609" t="str">
        <f t="shared" si="31"/>
        <v/>
      </c>
      <c r="O150" s="609" t="str">
        <f t="shared" si="31"/>
        <v/>
      </c>
      <c r="P150" s="609" t="str">
        <f t="shared" si="31"/>
        <v/>
      </c>
      <c r="Q150" s="609" t="str">
        <f t="shared" si="31"/>
        <v/>
      </c>
      <c r="R150" s="609" t="str">
        <f t="shared" si="31"/>
        <v/>
      </c>
      <c r="S150" s="609" t="str">
        <f t="shared" si="31"/>
        <v/>
      </c>
      <c r="T150" s="609" t="str">
        <f t="shared" si="31"/>
        <v/>
      </c>
      <c r="U150" s="609" t="str">
        <f t="shared" si="31"/>
        <v/>
      </c>
      <c r="V150" s="609" t="str">
        <f t="shared" si="31"/>
        <v/>
      </c>
      <c r="W150" s="609" t="str">
        <f t="shared" si="31"/>
        <v/>
      </c>
      <c r="X150" s="609" t="str">
        <f t="shared" si="31"/>
        <v/>
      </c>
      <c r="Y150" s="609" t="str">
        <f t="shared" si="31"/>
        <v/>
      </c>
      <c r="Z150" s="609" t="str">
        <f t="shared" si="31"/>
        <v/>
      </c>
      <c r="AA150" s="609" t="str">
        <f t="shared" si="31"/>
        <v/>
      </c>
      <c r="AB150" s="609" t="str">
        <f t="shared" si="31"/>
        <v/>
      </c>
      <c r="AC150" s="609" t="str">
        <f t="shared" si="31"/>
        <v/>
      </c>
      <c r="AD150" s="609" t="str">
        <f t="shared" si="31"/>
        <v/>
      </c>
      <c r="AE150" s="609" t="str">
        <f t="shared" si="31"/>
        <v/>
      </c>
      <c r="AF150" s="609" t="str">
        <f t="shared" si="31"/>
        <v/>
      </c>
      <c r="AG150" s="609" t="str">
        <f t="shared" si="31"/>
        <v/>
      </c>
      <c r="AH150" s="609" t="str">
        <f t="shared" si="31"/>
        <v/>
      </c>
      <c r="AI150" s="609" t="str">
        <f t="shared" si="31"/>
        <v/>
      </c>
      <c r="AJ150" s="609" t="str">
        <f t="shared" si="31"/>
        <v/>
      </c>
      <c r="AK150" s="609" t="str">
        <f t="shared" si="31"/>
        <v/>
      </c>
      <c r="AL150" s="609" t="str">
        <f t="shared" si="31"/>
        <v/>
      </c>
      <c r="AM150" s="609" t="str">
        <f t="shared" si="31"/>
        <v/>
      </c>
      <c r="AN150" s="609" t="str">
        <f t="shared" si="31"/>
        <v/>
      </c>
      <c r="AO150" s="609" t="str">
        <f t="shared" si="31"/>
        <v/>
      </c>
      <c r="AP150" s="609" t="str">
        <f t="shared" si="31"/>
        <v/>
      </c>
      <c r="AQ150" s="609" t="str">
        <f t="shared" si="31"/>
        <v/>
      </c>
      <c r="AR150" s="609" t="str">
        <f t="shared" si="31"/>
        <v/>
      </c>
      <c r="AS150" s="609" t="str">
        <f t="shared" si="31"/>
        <v/>
      </c>
      <c r="AT150" s="609" t="str">
        <f t="shared" si="31"/>
        <v/>
      </c>
      <c r="AU150" s="609" t="str">
        <f t="shared" si="31"/>
        <v/>
      </c>
      <c r="AV150" s="609" t="str">
        <f t="shared" si="31"/>
        <v/>
      </c>
      <c r="AW150" s="609" t="str">
        <f t="shared" si="31"/>
        <v/>
      </c>
      <c r="AX150" s="609" t="str">
        <f t="shared" si="31"/>
        <v/>
      </c>
      <c r="AY150" s="609" t="str">
        <f t="shared" si="31"/>
        <v/>
      </c>
      <c r="AZ150" s="609" t="str">
        <f t="shared" si="31"/>
        <v/>
      </c>
      <c r="BA150" s="609" t="str">
        <f t="shared" si="31"/>
        <v/>
      </c>
      <c r="BB150" s="609" t="str">
        <f t="shared" si="31"/>
        <v/>
      </c>
      <c r="BC150" s="609" t="str">
        <f t="shared" si="31"/>
        <v/>
      </c>
      <c r="BD150" s="609" t="str">
        <f t="shared" si="31"/>
        <v/>
      </c>
      <c r="BE150" s="609" t="str">
        <f t="shared" si="31"/>
        <v/>
      </c>
      <c r="BF150" s="609" t="str">
        <f t="shared" si="31"/>
        <v/>
      </c>
      <c r="BG150" s="609" t="str">
        <f t="shared" si="31"/>
        <v/>
      </c>
    </row>
    <row r="151" spans="2:59" x14ac:dyDescent="0.25">
      <c r="B151" s="654">
        <v>145</v>
      </c>
      <c r="C151" s="654"/>
      <c r="D151" s="654"/>
      <c r="E151" s="655"/>
      <c r="F151" s="654"/>
      <c r="H151" s="609" t="str">
        <f t="shared" si="28"/>
        <v/>
      </c>
      <c r="I151" s="609" t="str">
        <f t="shared" si="31"/>
        <v/>
      </c>
      <c r="J151" s="609" t="str">
        <f t="shared" si="31"/>
        <v/>
      </c>
      <c r="K151" s="609" t="str">
        <f t="shared" si="31"/>
        <v/>
      </c>
      <c r="L151" s="609" t="str">
        <f t="shared" si="31"/>
        <v/>
      </c>
      <c r="M151" s="609" t="str">
        <f t="shared" si="31"/>
        <v/>
      </c>
      <c r="N151" s="609" t="str">
        <f t="shared" si="31"/>
        <v/>
      </c>
      <c r="O151" s="609" t="str">
        <f t="shared" si="31"/>
        <v/>
      </c>
      <c r="P151" s="609" t="str">
        <f t="shared" si="31"/>
        <v/>
      </c>
      <c r="Q151" s="609" t="str">
        <f t="shared" si="31"/>
        <v/>
      </c>
      <c r="R151" s="609" t="str">
        <f t="shared" si="31"/>
        <v/>
      </c>
      <c r="S151" s="609" t="str">
        <f t="shared" si="31"/>
        <v/>
      </c>
      <c r="T151" s="609" t="str">
        <f t="shared" si="31"/>
        <v/>
      </c>
      <c r="U151" s="609" t="str">
        <f t="shared" si="31"/>
        <v/>
      </c>
      <c r="V151" s="609" t="str">
        <f t="shared" si="31"/>
        <v/>
      </c>
      <c r="W151" s="609" t="str">
        <f t="shared" si="31"/>
        <v/>
      </c>
      <c r="X151" s="609" t="str">
        <f t="shared" si="31"/>
        <v/>
      </c>
      <c r="Y151" s="609" t="str">
        <f t="shared" si="31"/>
        <v/>
      </c>
      <c r="Z151" s="609" t="str">
        <f t="shared" si="31"/>
        <v/>
      </c>
      <c r="AA151" s="609" t="str">
        <f t="shared" si="31"/>
        <v/>
      </c>
      <c r="AB151" s="609" t="str">
        <f t="shared" si="31"/>
        <v/>
      </c>
      <c r="AC151" s="609" t="str">
        <f t="shared" si="31"/>
        <v/>
      </c>
      <c r="AD151" s="609" t="str">
        <f t="shared" si="31"/>
        <v/>
      </c>
      <c r="AE151" s="609" t="str">
        <f t="shared" si="31"/>
        <v/>
      </c>
      <c r="AF151" s="609" t="str">
        <f t="shared" si="31"/>
        <v/>
      </c>
      <c r="AG151" s="609" t="str">
        <f t="shared" si="31"/>
        <v/>
      </c>
      <c r="AH151" s="609" t="str">
        <f t="shared" si="31"/>
        <v/>
      </c>
      <c r="AI151" s="609" t="str">
        <f t="shared" si="31"/>
        <v/>
      </c>
      <c r="AJ151" s="609" t="str">
        <f t="shared" si="31"/>
        <v/>
      </c>
      <c r="AK151" s="609" t="str">
        <f t="shared" si="31"/>
        <v/>
      </c>
      <c r="AL151" s="609" t="str">
        <f t="shared" si="31"/>
        <v/>
      </c>
      <c r="AM151" s="609" t="str">
        <f t="shared" si="31"/>
        <v/>
      </c>
      <c r="AN151" s="609" t="str">
        <f t="shared" si="31"/>
        <v/>
      </c>
      <c r="AO151" s="609" t="str">
        <f t="shared" si="31"/>
        <v/>
      </c>
      <c r="AP151" s="609" t="str">
        <f t="shared" si="31"/>
        <v/>
      </c>
      <c r="AQ151" s="609" t="str">
        <f t="shared" si="31"/>
        <v/>
      </c>
      <c r="AR151" s="609" t="str">
        <f t="shared" si="31"/>
        <v/>
      </c>
      <c r="AS151" s="609" t="str">
        <f t="shared" si="31"/>
        <v/>
      </c>
      <c r="AT151" s="609" t="str">
        <f t="shared" si="31"/>
        <v/>
      </c>
      <c r="AU151" s="609" t="str">
        <f t="shared" si="31"/>
        <v/>
      </c>
      <c r="AV151" s="609" t="str">
        <f t="shared" si="31"/>
        <v/>
      </c>
      <c r="AW151" s="609" t="str">
        <f t="shared" si="31"/>
        <v/>
      </c>
      <c r="AX151" s="609" t="str">
        <f t="shared" si="31"/>
        <v/>
      </c>
      <c r="AY151" s="609" t="str">
        <f t="shared" si="31"/>
        <v/>
      </c>
      <c r="AZ151" s="609" t="str">
        <f t="shared" si="31"/>
        <v/>
      </c>
      <c r="BA151" s="609" t="str">
        <f t="shared" si="31"/>
        <v/>
      </c>
      <c r="BB151" s="609" t="str">
        <f t="shared" si="31"/>
        <v/>
      </c>
      <c r="BC151" s="609" t="str">
        <f t="shared" si="31"/>
        <v/>
      </c>
      <c r="BD151" s="609" t="str">
        <f t="shared" si="31"/>
        <v/>
      </c>
      <c r="BE151" s="609" t="str">
        <f t="shared" si="31"/>
        <v/>
      </c>
      <c r="BF151" s="609" t="str">
        <f t="shared" si="31"/>
        <v/>
      </c>
      <c r="BG151" s="609" t="str">
        <f t="shared" si="31"/>
        <v/>
      </c>
    </row>
    <row r="152" spans="2:59" x14ac:dyDescent="0.25">
      <c r="B152" s="654">
        <v>146</v>
      </c>
      <c r="C152" s="654"/>
      <c r="D152" s="654"/>
      <c r="E152" s="655"/>
      <c r="F152" s="654"/>
      <c r="H152" s="609" t="str">
        <f t="shared" si="28"/>
        <v/>
      </c>
      <c r="I152" s="609" t="str">
        <f t="shared" si="31"/>
        <v/>
      </c>
      <c r="J152" s="609" t="str">
        <f t="shared" si="31"/>
        <v/>
      </c>
      <c r="K152" s="609" t="str">
        <f t="shared" si="31"/>
        <v/>
      </c>
      <c r="L152" s="609" t="str">
        <f t="shared" si="31"/>
        <v/>
      </c>
      <c r="M152" s="609" t="str">
        <f t="shared" si="31"/>
        <v/>
      </c>
      <c r="N152" s="609" t="str">
        <f t="shared" si="31"/>
        <v/>
      </c>
      <c r="O152" s="609" t="str">
        <f t="shared" si="31"/>
        <v/>
      </c>
      <c r="P152" s="609" t="str">
        <f t="shared" si="31"/>
        <v/>
      </c>
      <c r="Q152" s="609" t="str">
        <f t="shared" si="31"/>
        <v/>
      </c>
      <c r="R152" s="609" t="str">
        <f t="shared" si="31"/>
        <v/>
      </c>
      <c r="S152" s="609" t="str">
        <f t="shared" si="31"/>
        <v/>
      </c>
      <c r="T152" s="609" t="str">
        <f t="shared" si="31"/>
        <v/>
      </c>
      <c r="U152" s="609" t="str">
        <f t="shared" si="31"/>
        <v/>
      </c>
      <c r="V152" s="609" t="str">
        <f t="shared" si="31"/>
        <v/>
      </c>
      <c r="W152" s="609" t="str">
        <f t="shared" si="31"/>
        <v/>
      </c>
      <c r="X152" s="609" t="str">
        <f t="shared" si="31"/>
        <v/>
      </c>
      <c r="Y152" s="609" t="str">
        <f t="shared" si="31"/>
        <v/>
      </c>
      <c r="Z152" s="609" t="str">
        <f t="shared" si="31"/>
        <v/>
      </c>
      <c r="AA152" s="609" t="str">
        <f t="shared" si="31"/>
        <v/>
      </c>
      <c r="AB152" s="609" t="str">
        <f t="shared" si="31"/>
        <v/>
      </c>
      <c r="AC152" s="609" t="str">
        <f t="shared" si="31"/>
        <v/>
      </c>
      <c r="AD152" s="609" t="str">
        <f t="shared" si="31"/>
        <v/>
      </c>
      <c r="AE152" s="609" t="str">
        <f t="shared" si="31"/>
        <v/>
      </c>
      <c r="AF152" s="609" t="str">
        <f t="shared" si="31"/>
        <v/>
      </c>
      <c r="AG152" s="609" t="str">
        <f t="shared" si="31"/>
        <v/>
      </c>
      <c r="AH152" s="609" t="str">
        <f t="shared" si="31"/>
        <v/>
      </c>
      <c r="AI152" s="609" t="str">
        <f t="shared" si="31"/>
        <v/>
      </c>
      <c r="AJ152" s="609" t="str">
        <f t="shared" si="31"/>
        <v/>
      </c>
      <c r="AK152" s="609" t="str">
        <f t="shared" si="31"/>
        <v/>
      </c>
      <c r="AL152" s="609" t="str">
        <f t="shared" si="31"/>
        <v/>
      </c>
      <c r="AM152" s="609" t="str">
        <f t="shared" si="31"/>
        <v/>
      </c>
      <c r="AN152" s="609" t="str">
        <f t="shared" si="31"/>
        <v/>
      </c>
      <c r="AO152" s="609" t="str">
        <f t="shared" si="31"/>
        <v/>
      </c>
      <c r="AP152" s="609" t="str">
        <f t="shared" si="31"/>
        <v/>
      </c>
      <c r="AQ152" s="609" t="str">
        <f t="shared" si="31"/>
        <v/>
      </c>
      <c r="AR152" s="609" t="str">
        <f t="shared" si="31"/>
        <v/>
      </c>
      <c r="AS152" s="609" t="str">
        <f t="shared" si="31"/>
        <v/>
      </c>
      <c r="AT152" s="609" t="str">
        <f t="shared" si="31"/>
        <v/>
      </c>
      <c r="AU152" s="609" t="str">
        <f t="shared" si="31"/>
        <v/>
      </c>
      <c r="AV152" s="609" t="str">
        <f t="shared" si="31"/>
        <v/>
      </c>
      <c r="AW152" s="609" t="str">
        <f t="shared" si="31"/>
        <v/>
      </c>
      <c r="AX152" s="609" t="str">
        <f t="shared" si="31"/>
        <v/>
      </c>
      <c r="AY152" s="609" t="str">
        <f t="shared" si="31"/>
        <v/>
      </c>
      <c r="AZ152" s="609" t="str">
        <f t="shared" si="31"/>
        <v/>
      </c>
      <c r="BA152" s="609" t="str">
        <f t="shared" si="31"/>
        <v/>
      </c>
      <c r="BB152" s="609" t="str">
        <f t="shared" ref="I152:BG157" si="32">IF($D152=BB$6,$B152&amp;", ","")</f>
        <v/>
      </c>
      <c r="BC152" s="609" t="str">
        <f t="shared" si="32"/>
        <v/>
      </c>
      <c r="BD152" s="609" t="str">
        <f t="shared" si="32"/>
        <v/>
      </c>
      <c r="BE152" s="609" t="str">
        <f t="shared" si="32"/>
        <v/>
      </c>
      <c r="BF152" s="609" t="str">
        <f t="shared" si="32"/>
        <v/>
      </c>
      <c r="BG152" s="609" t="str">
        <f t="shared" si="32"/>
        <v/>
      </c>
    </row>
    <row r="153" spans="2:59" x14ac:dyDescent="0.25">
      <c r="B153" s="654">
        <v>147</v>
      </c>
      <c r="C153" s="654"/>
      <c r="D153" s="654"/>
      <c r="E153" s="655"/>
      <c r="F153" s="654"/>
      <c r="H153" s="609" t="str">
        <f t="shared" si="28"/>
        <v/>
      </c>
      <c r="I153" s="609" t="str">
        <f t="shared" si="32"/>
        <v/>
      </c>
      <c r="J153" s="609" t="str">
        <f t="shared" si="32"/>
        <v/>
      </c>
      <c r="K153" s="609" t="str">
        <f t="shared" si="32"/>
        <v/>
      </c>
      <c r="L153" s="609" t="str">
        <f t="shared" si="32"/>
        <v/>
      </c>
      <c r="M153" s="609" t="str">
        <f t="shared" si="32"/>
        <v/>
      </c>
      <c r="N153" s="609" t="str">
        <f t="shared" si="32"/>
        <v/>
      </c>
      <c r="O153" s="609" t="str">
        <f t="shared" si="32"/>
        <v/>
      </c>
      <c r="P153" s="609" t="str">
        <f t="shared" si="32"/>
        <v/>
      </c>
      <c r="Q153" s="609" t="str">
        <f t="shared" si="32"/>
        <v/>
      </c>
      <c r="R153" s="609" t="str">
        <f t="shared" si="32"/>
        <v/>
      </c>
      <c r="S153" s="609" t="str">
        <f t="shared" si="32"/>
        <v/>
      </c>
      <c r="T153" s="609" t="str">
        <f t="shared" si="32"/>
        <v/>
      </c>
      <c r="U153" s="609" t="str">
        <f t="shared" si="32"/>
        <v/>
      </c>
      <c r="V153" s="609" t="str">
        <f t="shared" si="32"/>
        <v/>
      </c>
      <c r="W153" s="609" t="str">
        <f t="shared" si="32"/>
        <v/>
      </c>
      <c r="X153" s="609" t="str">
        <f t="shared" si="32"/>
        <v/>
      </c>
      <c r="Y153" s="609" t="str">
        <f t="shared" si="32"/>
        <v/>
      </c>
      <c r="Z153" s="609" t="str">
        <f t="shared" si="32"/>
        <v/>
      </c>
      <c r="AA153" s="609" t="str">
        <f t="shared" si="32"/>
        <v/>
      </c>
      <c r="AB153" s="609" t="str">
        <f t="shared" si="32"/>
        <v/>
      </c>
      <c r="AC153" s="609" t="str">
        <f t="shared" si="32"/>
        <v/>
      </c>
      <c r="AD153" s="609" t="str">
        <f t="shared" si="32"/>
        <v/>
      </c>
      <c r="AE153" s="609" t="str">
        <f t="shared" si="32"/>
        <v/>
      </c>
      <c r="AF153" s="609" t="str">
        <f t="shared" si="32"/>
        <v/>
      </c>
      <c r="AG153" s="609" t="str">
        <f t="shared" si="32"/>
        <v/>
      </c>
      <c r="AH153" s="609" t="str">
        <f t="shared" si="32"/>
        <v/>
      </c>
      <c r="AI153" s="609" t="str">
        <f t="shared" si="32"/>
        <v/>
      </c>
      <c r="AJ153" s="609" t="str">
        <f t="shared" si="32"/>
        <v/>
      </c>
      <c r="AK153" s="609" t="str">
        <f t="shared" si="32"/>
        <v/>
      </c>
      <c r="AL153" s="609" t="str">
        <f t="shared" si="32"/>
        <v/>
      </c>
      <c r="AM153" s="609" t="str">
        <f t="shared" si="32"/>
        <v/>
      </c>
      <c r="AN153" s="609" t="str">
        <f t="shared" si="32"/>
        <v/>
      </c>
      <c r="AO153" s="609" t="str">
        <f t="shared" si="32"/>
        <v/>
      </c>
      <c r="AP153" s="609" t="str">
        <f t="shared" si="32"/>
        <v/>
      </c>
      <c r="AQ153" s="609" t="str">
        <f t="shared" si="32"/>
        <v/>
      </c>
      <c r="AR153" s="609" t="str">
        <f t="shared" si="32"/>
        <v/>
      </c>
      <c r="AS153" s="609" t="str">
        <f t="shared" si="32"/>
        <v/>
      </c>
      <c r="AT153" s="609" t="str">
        <f t="shared" si="32"/>
        <v/>
      </c>
      <c r="AU153" s="609" t="str">
        <f t="shared" si="32"/>
        <v/>
      </c>
      <c r="AV153" s="609" t="str">
        <f t="shared" si="32"/>
        <v/>
      </c>
      <c r="AW153" s="609" t="str">
        <f t="shared" si="32"/>
        <v/>
      </c>
      <c r="AX153" s="609" t="str">
        <f t="shared" si="32"/>
        <v/>
      </c>
      <c r="AY153" s="609" t="str">
        <f t="shared" si="32"/>
        <v/>
      </c>
      <c r="AZ153" s="609" t="str">
        <f t="shared" si="32"/>
        <v/>
      </c>
      <c r="BA153" s="609" t="str">
        <f t="shared" si="32"/>
        <v/>
      </c>
      <c r="BB153" s="609" t="str">
        <f t="shared" si="32"/>
        <v/>
      </c>
      <c r="BC153" s="609" t="str">
        <f t="shared" si="32"/>
        <v/>
      </c>
      <c r="BD153" s="609" t="str">
        <f t="shared" si="32"/>
        <v/>
      </c>
      <c r="BE153" s="609" t="str">
        <f t="shared" si="32"/>
        <v/>
      </c>
      <c r="BF153" s="609" t="str">
        <f t="shared" si="32"/>
        <v/>
      </c>
      <c r="BG153" s="609" t="str">
        <f t="shared" si="32"/>
        <v/>
      </c>
    </row>
    <row r="154" spans="2:59" x14ac:dyDescent="0.25">
      <c r="B154" s="654">
        <v>148</v>
      </c>
      <c r="C154" s="654"/>
      <c r="D154" s="654"/>
      <c r="E154" s="655"/>
      <c r="F154" s="654"/>
      <c r="H154" s="609" t="str">
        <f t="shared" si="28"/>
        <v/>
      </c>
      <c r="I154" s="609" t="str">
        <f t="shared" si="32"/>
        <v/>
      </c>
      <c r="J154" s="609" t="str">
        <f t="shared" si="32"/>
        <v/>
      </c>
      <c r="K154" s="609" t="str">
        <f t="shared" si="32"/>
        <v/>
      </c>
      <c r="L154" s="609" t="str">
        <f t="shared" si="32"/>
        <v/>
      </c>
      <c r="M154" s="609" t="str">
        <f t="shared" si="32"/>
        <v/>
      </c>
      <c r="N154" s="609" t="str">
        <f t="shared" si="32"/>
        <v/>
      </c>
      <c r="O154" s="609" t="str">
        <f t="shared" si="32"/>
        <v/>
      </c>
      <c r="P154" s="609" t="str">
        <f t="shared" si="32"/>
        <v/>
      </c>
      <c r="Q154" s="609" t="str">
        <f t="shared" si="32"/>
        <v/>
      </c>
      <c r="R154" s="609" t="str">
        <f t="shared" si="32"/>
        <v/>
      </c>
      <c r="S154" s="609" t="str">
        <f t="shared" si="32"/>
        <v/>
      </c>
      <c r="T154" s="609" t="str">
        <f t="shared" si="32"/>
        <v/>
      </c>
      <c r="U154" s="609" t="str">
        <f t="shared" si="32"/>
        <v/>
      </c>
      <c r="V154" s="609" t="str">
        <f t="shared" si="32"/>
        <v/>
      </c>
      <c r="W154" s="609" t="str">
        <f t="shared" si="32"/>
        <v/>
      </c>
      <c r="X154" s="609" t="str">
        <f t="shared" si="32"/>
        <v/>
      </c>
      <c r="Y154" s="609" t="str">
        <f t="shared" si="32"/>
        <v/>
      </c>
      <c r="Z154" s="609" t="str">
        <f t="shared" si="32"/>
        <v/>
      </c>
      <c r="AA154" s="609" t="str">
        <f t="shared" si="32"/>
        <v/>
      </c>
      <c r="AB154" s="609" t="str">
        <f t="shared" si="32"/>
        <v/>
      </c>
      <c r="AC154" s="609" t="str">
        <f t="shared" si="32"/>
        <v/>
      </c>
      <c r="AD154" s="609" t="str">
        <f t="shared" si="32"/>
        <v/>
      </c>
      <c r="AE154" s="609" t="str">
        <f t="shared" si="32"/>
        <v/>
      </c>
      <c r="AF154" s="609" t="str">
        <f t="shared" si="32"/>
        <v/>
      </c>
      <c r="AG154" s="609" t="str">
        <f t="shared" si="32"/>
        <v/>
      </c>
      <c r="AH154" s="609" t="str">
        <f t="shared" si="32"/>
        <v/>
      </c>
      <c r="AI154" s="609" t="str">
        <f t="shared" si="32"/>
        <v/>
      </c>
      <c r="AJ154" s="609" t="str">
        <f t="shared" si="32"/>
        <v/>
      </c>
      <c r="AK154" s="609" t="str">
        <f t="shared" si="32"/>
        <v/>
      </c>
      <c r="AL154" s="609" t="str">
        <f t="shared" si="32"/>
        <v/>
      </c>
      <c r="AM154" s="609" t="str">
        <f t="shared" si="32"/>
        <v/>
      </c>
      <c r="AN154" s="609" t="str">
        <f t="shared" si="32"/>
        <v/>
      </c>
      <c r="AO154" s="609" t="str">
        <f t="shared" si="32"/>
        <v/>
      </c>
      <c r="AP154" s="609" t="str">
        <f t="shared" si="32"/>
        <v/>
      </c>
      <c r="AQ154" s="609" t="str">
        <f t="shared" si="32"/>
        <v/>
      </c>
      <c r="AR154" s="609" t="str">
        <f t="shared" si="32"/>
        <v/>
      </c>
      <c r="AS154" s="609" t="str">
        <f t="shared" si="32"/>
        <v/>
      </c>
      <c r="AT154" s="609" t="str">
        <f t="shared" si="32"/>
        <v/>
      </c>
      <c r="AU154" s="609" t="str">
        <f t="shared" si="32"/>
        <v/>
      </c>
      <c r="AV154" s="609" t="str">
        <f t="shared" si="32"/>
        <v/>
      </c>
      <c r="AW154" s="609" t="str">
        <f t="shared" si="32"/>
        <v/>
      </c>
      <c r="AX154" s="609" t="str">
        <f t="shared" si="32"/>
        <v/>
      </c>
      <c r="AY154" s="609" t="str">
        <f t="shared" si="32"/>
        <v/>
      </c>
      <c r="AZ154" s="609" t="str">
        <f t="shared" si="32"/>
        <v/>
      </c>
      <c r="BA154" s="609" t="str">
        <f t="shared" si="32"/>
        <v/>
      </c>
      <c r="BB154" s="609" t="str">
        <f t="shared" si="32"/>
        <v/>
      </c>
      <c r="BC154" s="609" t="str">
        <f t="shared" si="32"/>
        <v/>
      </c>
      <c r="BD154" s="609" t="str">
        <f t="shared" si="32"/>
        <v/>
      </c>
      <c r="BE154" s="609" t="str">
        <f t="shared" si="32"/>
        <v/>
      </c>
      <c r="BF154" s="609" t="str">
        <f t="shared" si="32"/>
        <v/>
      </c>
      <c r="BG154" s="609" t="str">
        <f t="shared" si="32"/>
        <v/>
      </c>
    </row>
    <row r="155" spans="2:59" x14ac:dyDescent="0.25">
      <c r="B155" s="654">
        <v>149</v>
      </c>
      <c r="C155" s="654"/>
      <c r="D155" s="654"/>
      <c r="E155" s="655"/>
      <c r="F155" s="654"/>
      <c r="H155" s="609" t="str">
        <f t="shared" si="28"/>
        <v/>
      </c>
      <c r="I155" s="609" t="str">
        <f t="shared" si="32"/>
        <v/>
      </c>
      <c r="J155" s="609" t="str">
        <f t="shared" si="32"/>
        <v/>
      </c>
      <c r="K155" s="609" t="str">
        <f t="shared" si="32"/>
        <v/>
      </c>
      <c r="L155" s="609" t="str">
        <f t="shared" si="32"/>
        <v/>
      </c>
      <c r="M155" s="609" t="str">
        <f t="shared" si="32"/>
        <v/>
      </c>
      <c r="N155" s="609" t="str">
        <f t="shared" si="32"/>
        <v/>
      </c>
      <c r="O155" s="609" t="str">
        <f t="shared" si="32"/>
        <v/>
      </c>
      <c r="P155" s="609" t="str">
        <f t="shared" si="32"/>
        <v/>
      </c>
      <c r="Q155" s="609" t="str">
        <f t="shared" si="32"/>
        <v/>
      </c>
      <c r="R155" s="609" t="str">
        <f t="shared" si="32"/>
        <v/>
      </c>
      <c r="S155" s="609" t="str">
        <f t="shared" si="32"/>
        <v/>
      </c>
      <c r="T155" s="609" t="str">
        <f t="shared" si="32"/>
        <v/>
      </c>
      <c r="U155" s="609" t="str">
        <f t="shared" si="32"/>
        <v/>
      </c>
      <c r="V155" s="609" t="str">
        <f t="shared" si="32"/>
        <v/>
      </c>
      <c r="W155" s="609" t="str">
        <f t="shared" si="32"/>
        <v/>
      </c>
      <c r="X155" s="609" t="str">
        <f t="shared" si="32"/>
        <v/>
      </c>
      <c r="Y155" s="609" t="str">
        <f t="shared" si="32"/>
        <v/>
      </c>
      <c r="Z155" s="609" t="str">
        <f t="shared" si="32"/>
        <v/>
      </c>
      <c r="AA155" s="609" t="str">
        <f t="shared" si="32"/>
        <v/>
      </c>
      <c r="AB155" s="609" t="str">
        <f t="shared" si="32"/>
        <v/>
      </c>
      <c r="AC155" s="609" t="str">
        <f t="shared" si="32"/>
        <v/>
      </c>
      <c r="AD155" s="609" t="str">
        <f t="shared" si="32"/>
        <v/>
      </c>
      <c r="AE155" s="609" t="str">
        <f t="shared" si="32"/>
        <v/>
      </c>
      <c r="AF155" s="609" t="str">
        <f t="shared" si="32"/>
        <v/>
      </c>
      <c r="AG155" s="609" t="str">
        <f t="shared" si="32"/>
        <v/>
      </c>
      <c r="AH155" s="609" t="str">
        <f t="shared" si="32"/>
        <v/>
      </c>
      <c r="AI155" s="609" t="str">
        <f t="shared" si="32"/>
        <v/>
      </c>
      <c r="AJ155" s="609" t="str">
        <f t="shared" si="32"/>
        <v/>
      </c>
      <c r="AK155" s="609" t="str">
        <f t="shared" si="32"/>
        <v/>
      </c>
      <c r="AL155" s="609" t="str">
        <f t="shared" si="32"/>
        <v/>
      </c>
      <c r="AM155" s="609" t="str">
        <f t="shared" si="32"/>
        <v/>
      </c>
      <c r="AN155" s="609" t="str">
        <f t="shared" si="32"/>
        <v/>
      </c>
      <c r="AO155" s="609" t="str">
        <f t="shared" si="32"/>
        <v/>
      </c>
      <c r="AP155" s="609" t="str">
        <f t="shared" si="32"/>
        <v/>
      </c>
      <c r="AQ155" s="609" t="str">
        <f t="shared" si="32"/>
        <v/>
      </c>
      <c r="AR155" s="609" t="str">
        <f t="shared" si="32"/>
        <v/>
      </c>
      <c r="AS155" s="609" t="str">
        <f t="shared" si="32"/>
        <v/>
      </c>
      <c r="AT155" s="609" t="str">
        <f t="shared" si="32"/>
        <v/>
      </c>
      <c r="AU155" s="609" t="str">
        <f t="shared" si="32"/>
        <v/>
      </c>
      <c r="AV155" s="609" t="str">
        <f t="shared" si="32"/>
        <v/>
      </c>
      <c r="AW155" s="609" t="str">
        <f t="shared" si="32"/>
        <v/>
      </c>
      <c r="AX155" s="609" t="str">
        <f t="shared" si="32"/>
        <v/>
      </c>
      <c r="AY155" s="609" t="str">
        <f t="shared" si="32"/>
        <v/>
      </c>
      <c r="AZ155" s="609" t="str">
        <f t="shared" si="32"/>
        <v/>
      </c>
      <c r="BA155" s="609" t="str">
        <f t="shared" si="32"/>
        <v/>
      </c>
      <c r="BB155" s="609" t="str">
        <f t="shared" si="32"/>
        <v/>
      </c>
      <c r="BC155" s="609" t="str">
        <f t="shared" si="32"/>
        <v/>
      </c>
      <c r="BD155" s="609" t="str">
        <f t="shared" si="32"/>
        <v/>
      </c>
      <c r="BE155" s="609" t="str">
        <f t="shared" si="32"/>
        <v/>
      </c>
      <c r="BF155" s="609" t="str">
        <f t="shared" si="32"/>
        <v/>
      </c>
      <c r="BG155" s="609" t="str">
        <f t="shared" si="32"/>
        <v/>
      </c>
    </row>
    <row r="156" spans="2:59" x14ac:dyDescent="0.25">
      <c r="B156" s="654">
        <v>150</v>
      </c>
      <c r="C156" s="654"/>
      <c r="D156" s="654"/>
      <c r="E156" s="655"/>
      <c r="F156" s="654"/>
      <c r="H156" s="609" t="str">
        <f t="shared" si="28"/>
        <v/>
      </c>
      <c r="I156" s="609" t="str">
        <f t="shared" si="32"/>
        <v/>
      </c>
      <c r="J156" s="609" t="str">
        <f t="shared" si="32"/>
        <v/>
      </c>
      <c r="K156" s="609" t="str">
        <f t="shared" si="32"/>
        <v/>
      </c>
      <c r="L156" s="609" t="str">
        <f t="shared" si="32"/>
        <v/>
      </c>
      <c r="M156" s="609" t="str">
        <f t="shared" si="32"/>
        <v/>
      </c>
      <c r="N156" s="609" t="str">
        <f t="shared" si="32"/>
        <v/>
      </c>
      <c r="O156" s="609" t="str">
        <f t="shared" si="32"/>
        <v/>
      </c>
      <c r="P156" s="609" t="str">
        <f t="shared" si="32"/>
        <v/>
      </c>
      <c r="Q156" s="609" t="str">
        <f t="shared" si="32"/>
        <v/>
      </c>
      <c r="R156" s="609" t="str">
        <f t="shared" si="32"/>
        <v/>
      </c>
      <c r="S156" s="609" t="str">
        <f t="shared" si="32"/>
        <v/>
      </c>
      <c r="T156" s="609" t="str">
        <f t="shared" si="32"/>
        <v/>
      </c>
      <c r="U156" s="609" t="str">
        <f t="shared" si="32"/>
        <v/>
      </c>
      <c r="V156" s="609" t="str">
        <f t="shared" si="32"/>
        <v/>
      </c>
      <c r="W156" s="609" t="str">
        <f t="shared" si="32"/>
        <v/>
      </c>
      <c r="X156" s="609" t="str">
        <f t="shared" si="32"/>
        <v/>
      </c>
      <c r="Y156" s="609" t="str">
        <f t="shared" si="32"/>
        <v/>
      </c>
      <c r="Z156" s="609" t="str">
        <f t="shared" si="32"/>
        <v/>
      </c>
      <c r="AA156" s="609" t="str">
        <f t="shared" si="32"/>
        <v/>
      </c>
      <c r="AB156" s="609" t="str">
        <f t="shared" si="32"/>
        <v/>
      </c>
      <c r="AC156" s="609" t="str">
        <f t="shared" si="32"/>
        <v/>
      </c>
      <c r="AD156" s="609" t="str">
        <f t="shared" si="32"/>
        <v/>
      </c>
      <c r="AE156" s="609" t="str">
        <f t="shared" si="32"/>
        <v/>
      </c>
      <c r="AF156" s="609" t="str">
        <f t="shared" si="32"/>
        <v/>
      </c>
      <c r="AG156" s="609" t="str">
        <f t="shared" si="32"/>
        <v/>
      </c>
      <c r="AH156" s="609" t="str">
        <f t="shared" si="32"/>
        <v/>
      </c>
      <c r="AI156" s="609" t="str">
        <f t="shared" si="32"/>
        <v/>
      </c>
      <c r="AJ156" s="609" t="str">
        <f t="shared" si="32"/>
        <v/>
      </c>
      <c r="AK156" s="609" t="str">
        <f t="shared" si="32"/>
        <v/>
      </c>
      <c r="AL156" s="609" t="str">
        <f t="shared" si="32"/>
        <v/>
      </c>
      <c r="AM156" s="609" t="str">
        <f t="shared" si="32"/>
        <v/>
      </c>
      <c r="AN156" s="609" t="str">
        <f t="shared" si="32"/>
        <v/>
      </c>
      <c r="AO156" s="609" t="str">
        <f t="shared" si="32"/>
        <v/>
      </c>
      <c r="AP156" s="609" t="str">
        <f t="shared" si="32"/>
        <v/>
      </c>
      <c r="AQ156" s="609" t="str">
        <f t="shared" si="32"/>
        <v/>
      </c>
      <c r="AR156" s="609" t="str">
        <f t="shared" si="32"/>
        <v/>
      </c>
      <c r="AS156" s="609" t="str">
        <f t="shared" si="32"/>
        <v/>
      </c>
      <c r="AT156" s="609" t="str">
        <f t="shared" si="32"/>
        <v/>
      </c>
      <c r="AU156" s="609" t="str">
        <f t="shared" si="32"/>
        <v/>
      </c>
      <c r="AV156" s="609" t="str">
        <f t="shared" si="32"/>
        <v/>
      </c>
      <c r="AW156" s="609" t="str">
        <f t="shared" si="32"/>
        <v/>
      </c>
      <c r="AX156" s="609" t="str">
        <f t="shared" si="32"/>
        <v/>
      </c>
      <c r="AY156" s="609" t="str">
        <f t="shared" si="32"/>
        <v/>
      </c>
      <c r="AZ156" s="609" t="str">
        <f t="shared" si="32"/>
        <v/>
      </c>
      <c r="BA156" s="609" t="str">
        <f t="shared" si="32"/>
        <v/>
      </c>
      <c r="BB156" s="609" t="str">
        <f t="shared" si="32"/>
        <v/>
      </c>
      <c r="BC156" s="609" t="str">
        <f t="shared" si="32"/>
        <v/>
      </c>
      <c r="BD156" s="609" t="str">
        <f t="shared" si="32"/>
        <v/>
      </c>
      <c r="BE156" s="609" t="str">
        <f t="shared" si="32"/>
        <v/>
      </c>
      <c r="BF156" s="609" t="str">
        <f t="shared" si="32"/>
        <v/>
      </c>
      <c r="BG156" s="609" t="str">
        <f t="shared" si="32"/>
        <v/>
      </c>
    </row>
    <row r="157" spans="2:59" x14ac:dyDescent="0.25">
      <c r="B157" s="654">
        <v>151</v>
      </c>
      <c r="C157" s="654"/>
      <c r="D157" s="654"/>
      <c r="E157" s="655"/>
      <c r="F157" s="654"/>
      <c r="H157" s="609" t="str">
        <f t="shared" si="28"/>
        <v/>
      </c>
      <c r="I157" s="609" t="str">
        <f t="shared" si="32"/>
        <v/>
      </c>
      <c r="J157" s="609" t="str">
        <f t="shared" si="32"/>
        <v/>
      </c>
      <c r="K157" s="609" t="str">
        <f t="shared" si="32"/>
        <v/>
      </c>
      <c r="L157" s="609" t="str">
        <f t="shared" si="32"/>
        <v/>
      </c>
      <c r="M157" s="609" t="str">
        <f t="shared" si="32"/>
        <v/>
      </c>
      <c r="N157" s="609" t="str">
        <f t="shared" si="32"/>
        <v/>
      </c>
      <c r="O157" s="609" t="str">
        <f t="shared" si="32"/>
        <v/>
      </c>
      <c r="P157" s="609" t="str">
        <f t="shared" si="32"/>
        <v/>
      </c>
      <c r="Q157" s="609" t="str">
        <f t="shared" si="32"/>
        <v/>
      </c>
      <c r="R157" s="609" t="str">
        <f t="shared" si="32"/>
        <v/>
      </c>
      <c r="S157" s="609" t="str">
        <f t="shared" si="32"/>
        <v/>
      </c>
      <c r="T157" s="609" t="str">
        <f t="shared" si="32"/>
        <v/>
      </c>
      <c r="U157" s="609" t="str">
        <f t="shared" si="32"/>
        <v/>
      </c>
      <c r="V157" s="609" t="str">
        <f t="shared" si="32"/>
        <v/>
      </c>
      <c r="W157" s="609" t="str">
        <f t="shared" si="32"/>
        <v/>
      </c>
      <c r="X157" s="609" t="str">
        <f t="shared" si="32"/>
        <v/>
      </c>
      <c r="Y157" s="609" t="str">
        <f t="shared" si="32"/>
        <v/>
      </c>
      <c r="Z157" s="609" t="str">
        <f t="shared" si="32"/>
        <v/>
      </c>
      <c r="AA157" s="609" t="str">
        <f t="shared" si="32"/>
        <v/>
      </c>
      <c r="AB157" s="609" t="str">
        <f t="shared" si="32"/>
        <v/>
      </c>
      <c r="AC157" s="609" t="str">
        <f t="shared" si="32"/>
        <v/>
      </c>
      <c r="AD157" s="609" t="str">
        <f t="shared" si="32"/>
        <v/>
      </c>
      <c r="AE157" s="609" t="str">
        <f t="shared" si="32"/>
        <v/>
      </c>
      <c r="AF157" s="609" t="str">
        <f t="shared" si="32"/>
        <v/>
      </c>
      <c r="AG157" s="609" t="str">
        <f t="shared" si="32"/>
        <v/>
      </c>
      <c r="AH157" s="609" t="str">
        <f t="shared" si="32"/>
        <v/>
      </c>
      <c r="AI157" s="609" t="str">
        <f t="shared" si="32"/>
        <v/>
      </c>
      <c r="AJ157" s="609" t="str">
        <f t="shared" si="32"/>
        <v/>
      </c>
      <c r="AK157" s="609" t="str">
        <f t="shared" si="32"/>
        <v/>
      </c>
      <c r="AL157" s="609" t="str">
        <f t="shared" si="32"/>
        <v/>
      </c>
      <c r="AM157" s="609" t="str">
        <f t="shared" si="32"/>
        <v/>
      </c>
      <c r="AN157" s="609" t="str">
        <f t="shared" si="32"/>
        <v/>
      </c>
      <c r="AO157" s="609" t="str">
        <f t="shared" si="32"/>
        <v/>
      </c>
      <c r="AP157" s="609" t="str">
        <f t="shared" si="32"/>
        <v/>
      </c>
      <c r="AQ157" s="609" t="str">
        <f t="shared" si="32"/>
        <v/>
      </c>
      <c r="AR157" s="609" t="str">
        <f t="shared" si="32"/>
        <v/>
      </c>
      <c r="AS157" s="609" t="str">
        <f t="shared" si="32"/>
        <v/>
      </c>
      <c r="AT157" s="609" t="str">
        <f t="shared" si="32"/>
        <v/>
      </c>
      <c r="AU157" s="609" t="str">
        <f t="shared" si="32"/>
        <v/>
      </c>
      <c r="AV157" s="609" t="str">
        <f t="shared" si="32"/>
        <v/>
      </c>
      <c r="AW157" s="609" t="str">
        <f t="shared" si="32"/>
        <v/>
      </c>
      <c r="AX157" s="609" t="str">
        <f t="shared" si="32"/>
        <v/>
      </c>
      <c r="AY157" s="609" t="str">
        <f t="shared" si="32"/>
        <v/>
      </c>
      <c r="AZ157" s="609" t="str">
        <f t="shared" si="32"/>
        <v/>
      </c>
      <c r="BA157" s="609" t="str">
        <f t="shared" si="32"/>
        <v/>
      </c>
      <c r="BB157" s="609" t="str">
        <f t="shared" ref="I157:BG162" si="33">IF($D157=BB$6,$B157&amp;", ","")</f>
        <v/>
      </c>
      <c r="BC157" s="609" t="str">
        <f t="shared" si="33"/>
        <v/>
      </c>
      <c r="BD157" s="609" t="str">
        <f t="shared" si="33"/>
        <v/>
      </c>
      <c r="BE157" s="609" t="str">
        <f t="shared" si="33"/>
        <v/>
      </c>
      <c r="BF157" s="609" t="str">
        <f t="shared" si="33"/>
        <v/>
      </c>
      <c r="BG157" s="609" t="str">
        <f t="shared" si="33"/>
        <v/>
      </c>
    </row>
    <row r="158" spans="2:59" x14ac:dyDescent="0.25">
      <c r="B158" s="654">
        <v>152</v>
      </c>
      <c r="C158" s="654"/>
      <c r="D158" s="654"/>
      <c r="E158" s="655"/>
      <c r="F158" s="654"/>
      <c r="H158" s="609" t="str">
        <f t="shared" si="28"/>
        <v/>
      </c>
      <c r="I158" s="609" t="str">
        <f t="shared" si="33"/>
        <v/>
      </c>
      <c r="J158" s="609" t="str">
        <f t="shared" si="33"/>
        <v/>
      </c>
      <c r="K158" s="609" t="str">
        <f t="shared" si="33"/>
        <v/>
      </c>
      <c r="L158" s="609" t="str">
        <f t="shared" si="33"/>
        <v/>
      </c>
      <c r="M158" s="609" t="str">
        <f t="shared" si="33"/>
        <v/>
      </c>
      <c r="N158" s="609" t="str">
        <f t="shared" si="33"/>
        <v/>
      </c>
      <c r="O158" s="609" t="str">
        <f t="shared" si="33"/>
        <v/>
      </c>
      <c r="P158" s="609" t="str">
        <f t="shared" si="33"/>
        <v/>
      </c>
      <c r="Q158" s="609" t="str">
        <f t="shared" si="33"/>
        <v/>
      </c>
      <c r="R158" s="609" t="str">
        <f t="shared" si="33"/>
        <v/>
      </c>
      <c r="S158" s="609" t="str">
        <f t="shared" si="33"/>
        <v/>
      </c>
      <c r="T158" s="609" t="str">
        <f t="shared" si="33"/>
        <v/>
      </c>
      <c r="U158" s="609" t="str">
        <f t="shared" si="33"/>
        <v/>
      </c>
      <c r="V158" s="609" t="str">
        <f t="shared" si="33"/>
        <v/>
      </c>
      <c r="W158" s="609" t="str">
        <f t="shared" si="33"/>
        <v/>
      </c>
      <c r="X158" s="609" t="str">
        <f t="shared" si="33"/>
        <v/>
      </c>
      <c r="Y158" s="609" t="str">
        <f t="shared" si="33"/>
        <v/>
      </c>
      <c r="Z158" s="609" t="str">
        <f t="shared" si="33"/>
        <v/>
      </c>
      <c r="AA158" s="609" t="str">
        <f t="shared" si="33"/>
        <v/>
      </c>
      <c r="AB158" s="609" t="str">
        <f t="shared" si="33"/>
        <v/>
      </c>
      <c r="AC158" s="609" t="str">
        <f t="shared" si="33"/>
        <v/>
      </c>
      <c r="AD158" s="609" t="str">
        <f t="shared" si="33"/>
        <v/>
      </c>
      <c r="AE158" s="609" t="str">
        <f t="shared" si="33"/>
        <v/>
      </c>
      <c r="AF158" s="609" t="str">
        <f t="shared" si="33"/>
        <v/>
      </c>
      <c r="AG158" s="609" t="str">
        <f t="shared" si="33"/>
        <v/>
      </c>
      <c r="AH158" s="609" t="str">
        <f t="shared" si="33"/>
        <v/>
      </c>
      <c r="AI158" s="609" t="str">
        <f t="shared" si="33"/>
        <v/>
      </c>
      <c r="AJ158" s="609" t="str">
        <f t="shared" si="33"/>
        <v/>
      </c>
      <c r="AK158" s="609" t="str">
        <f t="shared" si="33"/>
        <v/>
      </c>
      <c r="AL158" s="609" t="str">
        <f t="shared" si="33"/>
        <v/>
      </c>
      <c r="AM158" s="609" t="str">
        <f t="shared" si="33"/>
        <v/>
      </c>
      <c r="AN158" s="609" t="str">
        <f t="shared" si="33"/>
        <v/>
      </c>
      <c r="AO158" s="609" t="str">
        <f t="shared" si="33"/>
        <v/>
      </c>
      <c r="AP158" s="609" t="str">
        <f t="shared" si="33"/>
        <v/>
      </c>
      <c r="AQ158" s="609" t="str">
        <f t="shared" si="33"/>
        <v/>
      </c>
      <c r="AR158" s="609" t="str">
        <f t="shared" si="33"/>
        <v/>
      </c>
      <c r="AS158" s="609" t="str">
        <f t="shared" si="33"/>
        <v/>
      </c>
      <c r="AT158" s="609" t="str">
        <f t="shared" si="33"/>
        <v/>
      </c>
      <c r="AU158" s="609" t="str">
        <f t="shared" si="33"/>
        <v/>
      </c>
      <c r="AV158" s="609" t="str">
        <f t="shared" si="33"/>
        <v/>
      </c>
      <c r="AW158" s="609" t="str">
        <f t="shared" si="33"/>
        <v/>
      </c>
      <c r="AX158" s="609" t="str">
        <f t="shared" si="33"/>
        <v/>
      </c>
      <c r="AY158" s="609" t="str">
        <f t="shared" si="33"/>
        <v/>
      </c>
      <c r="AZ158" s="609" t="str">
        <f t="shared" si="33"/>
        <v/>
      </c>
      <c r="BA158" s="609" t="str">
        <f t="shared" si="33"/>
        <v/>
      </c>
      <c r="BB158" s="609" t="str">
        <f t="shared" si="33"/>
        <v/>
      </c>
      <c r="BC158" s="609" t="str">
        <f t="shared" si="33"/>
        <v/>
      </c>
      <c r="BD158" s="609" t="str">
        <f t="shared" si="33"/>
        <v/>
      </c>
      <c r="BE158" s="609" t="str">
        <f t="shared" si="33"/>
        <v/>
      </c>
      <c r="BF158" s="609" t="str">
        <f t="shared" si="33"/>
        <v/>
      </c>
      <c r="BG158" s="609" t="str">
        <f t="shared" si="33"/>
        <v/>
      </c>
    </row>
    <row r="159" spans="2:59" x14ac:dyDescent="0.25">
      <c r="B159" s="654">
        <v>153</v>
      </c>
      <c r="C159" s="654"/>
      <c r="D159" s="654"/>
      <c r="E159" s="655"/>
      <c r="F159" s="654"/>
      <c r="H159" s="609" t="str">
        <f t="shared" si="28"/>
        <v/>
      </c>
      <c r="I159" s="609" t="str">
        <f t="shared" si="33"/>
        <v/>
      </c>
      <c r="J159" s="609" t="str">
        <f t="shared" si="33"/>
        <v/>
      </c>
      <c r="K159" s="609" t="str">
        <f t="shared" si="33"/>
        <v/>
      </c>
      <c r="L159" s="609" t="str">
        <f t="shared" si="33"/>
        <v/>
      </c>
      <c r="M159" s="609" t="str">
        <f t="shared" si="33"/>
        <v/>
      </c>
      <c r="N159" s="609" t="str">
        <f t="shared" si="33"/>
        <v/>
      </c>
      <c r="O159" s="609" t="str">
        <f t="shared" si="33"/>
        <v/>
      </c>
      <c r="P159" s="609" t="str">
        <f t="shared" si="33"/>
        <v/>
      </c>
      <c r="Q159" s="609" t="str">
        <f t="shared" si="33"/>
        <v/>
      </c>
      <c r="R159" s="609" t="str">
        <f t="shared" si="33"/>
        <v/>
      </c>
      <c r="S159" s="609" t="str">
        <f t="shared" si="33"/>
        <v/>
      </c>
      <c r="T159" s="609" t="str">
        <f t="shared" si="33"/>
        <v/>
      </c>
      <c r="U159" s="609" t="str">
        <f t="shared" si="33"/>
        <v/>
      </c>
      <c r="V159" s="609" t="str">
        <f t="shared" si="33"/>
        <v/>
      </c>
      <c r="W159" s="609" t="str">
        <f t="shared" si="33"/>
        <v/>
      </c>
      <c r="X159" s="609" t="str">
        <f t="shared" si="33"/>
        <v/>
      </c>
      <c r="Y159" s="609" t="str">
        <f t="shared" si="33"/>
        <v/>
      </c>
      <c r="Z159" s="609" t="str">
        <f t="shared" si="33"/>
        <v/>
      </c>
      <c r="AA159" s="609" t="str">
        <f t="shared" si="33"/>
        <v/>
      </c>
      <c r="AB159" s="609" t="str">
        <f t="shared" si="33"/>
        <v/>
      </c>
      <c r="AC159" s="609" t="str">
        <f t="shared" si="33"/>
        <v/>
      </c>
      <c r="AD159" s="609" t="str">
        <f t="shared" si="33"/>
        <v/>
      </c>
      <c r="AE159" s="609" t="str">
        <f t="shared" si="33"/>
        <v/>
      </c>
      <c r="AF159" s="609" t="str">
        <f t="shared" si="33"/>
        <v/>
      </c>
      <c r="AG159" s="609" t="str">
        <f t="shared" si="33"/>
        <v/>
      </c>
      <c r="AH159" s="609" t="str">
        <f t="shared" si="33"/>
        <v/>
      </c>
      <c r="AI159" s="609" t="str">
        <f t="shared" si="33"/>
        <v/>
      </c>
      <c r="AJ159" s="609" t="str">
        <f t="shared" si="33"/>
        <v/>
      </c>
      <c r="AK159" s="609" t="str">
        <f t="shared" si="33"/>
        <v/>
      </c>
      <c r="AL159" s="609" t="str">
        <f t="shared" si="33"/>
        <v/>
      </c>
      <c r="AM159" s="609" t="str">
        <f t="shared" si="33"/>
        <v/>
      </c>
      <c r="AN159" s="609" t="str">
        <f t="shared" si="33"/>
        <v/>
      </c>
      <c r="AO159" s="609" t="str">
        <f t="shared" si="33"/>
        <v/>
      </c>
      <c r="AP159" s="609" t="str">
        <f t="shared" si="33"/>
        <v/>
      </c>
      <c r="AQ159" s="609" t="str">
        <f t="shared" si="33"/>
        <v/>
      </c>
      <c r="AR159" s="609" t="str">
        <f t="shared" si="33"/>
        <v/>
      </c>
      <c r="AS159" s="609" t="str">
        <f t="shared" si="33"/>
        <v/>
      </c>
      <c r="AT159" s="609" t="str">
        <f t="shared" si="33"/>
        <v/>
      </c>
      <c r="AU159" s="609" t="str">
        <f t="shared" si="33"/>
        <v/>
      </c>
      <c r="AV159" s="609" t="str">
        <f t="shared" si="33"/>
        <v/>
      </c>
      <c r="AW159" s="609" t="str">
        <f t="shared" si="33"/>
        <v/>
      </c>
      <c r="AX159" s="609" t="str">
        <f t="shared" si="33"/>
        <v/>
      </c>
      <c r="AY159" s="609" t="str">
        <f t="shared" si="33"/>
        <v/>
      </c>
      <c r="AZ159" s="609" t="str">
        <f t="shared" si="33"/>
        <v/>
      </c>
      <c r="BA159" s="609" t="str">
        <f t="shared" si="33"/>
        <v/>
      </c>
      <c r="BB159" s="609" t="str">
        <f t="shared" si="33"/>
        <v/>
      </c>
      <c r="BC159" s="609" t="str">
        <f t="shared" si="33"/>
        <v/>
      </c>
      <c r="BD159" s="609" t="str">
        <f t="shared" si="33"/>
        <v/>
      </c>
      <c r="BE159" s="609" t="str">
        <f t="shared" si="33"/>
        <v/>
      </c>
      <c r="BF159" s="609" t="str">
        <f t="shared" si="33"/>
        <v/>
      </c>
      <c r="BG159" s="609" t="str">
        <f t="shared" si="33"/>
        <v/>
      </c>
    </row>
    <row r="160" spans="2:59" x14ac:dyDescent="0.25">
      <c r="B160" s="654">
        <v>154</v>
      </c>
      <c r="C160" s="654"/>
      <c r="D160" s="654"/>
      <c r="E160" s="655"/>
      <c r="F160" s="654"/>
      <c r="H160" s="609" t="str">
        <f t="shared" si="28"/>
        <v/>
      </c>
      <c r="I160" s="609" t="str">
        <f t="shared" si="33"/>
        <v/>
      </c>
      <c r="J160" s="609" t="str">
        <f t="shared" si="33"/>
        <v/>
      </c>
      <c r="K160" s="609" t="str">
        <f t="shared" si="33"/>
        <v/>
      </c>
      <c r="L160" s="609" t="str">
        <f t="shared" si="33"/>
        <v/>
      </c>
      <c r="M160" s="609" t="str">
        <f t="shared" si="33"/>
        <v/>
      </c>
      <c r="N160" s="609" t="str">
        <f t="shared" si="33"/>
        <v/>
      </c>
      <c r="O160" s="609" t="str">
        <f t="shared" si="33"/>
        <v/>
      </c>
      <c r="P160" s="609" t="str">
        <f t="shared" si="33"/>
        <v/>
      </c>
      <c r="Q160" s="609" t="str">
        <f t="shared" si="33"/>
        <v/>
      </c>
      <c r="R160" s="609" t="str">
        <f t="shared" si="33"/>
        <v/>
      </c>
      <c r="S160" s="609" t="str">
        <f t="shared" si="33"/>
        <v/>
      </c>
      <c r="T160" s="609" t="str">
        <f t="shared" si="33"/>
        <v/>
      </c>
      <c r="U160" s="609" t="str">
        <f t="shared" si="33"/>
        <v/>
      </c>
      <c r="V160" s="609" t="str">
        <f t="shared" si="33"/>
        <v/>
      </c>
      <c r="W160" s="609" t="str">
        <f t="shared" si="33"/>
        <v/>
      </c>
      <c r="X160" s="609" t="str">
        <f t="shared" si="33"/>
        <v/>
      </c>
      <c r="Y160" s="609" t="str">
        <f t="shared" si="33"/>
        <v/>
      </c>
      <c r="Z160" s="609" t="str">
        <f t="shared" si="33"/>
        <v/>
      </c>
      <c r="AA160" s="609" t="str">
        <f t="shared" si="33"/>
        <v/>
      </c>
      <c r="AB160" s="609" t="str">
        <f t="shared" si="33"/>
        <v/>
      </c>
      <c r="AC160" s="609" t="str">
        <f t="shared" si="33"/>
        <v/>
      </c>
      <c r="AD160" s="609" t="str">
        <f t="shared" si="33"/>
        <v/>
      </c>
      <c r="AE160" s="609" t="str">
        <f t="shared" si="33"/>
        <v/>
      </c>
      <c r="AF160" s="609" t="str">
        <f t="shared" si="33"/>
        <v/>
      </c>
      <c r="AG160" s="609" t="str">
        <f t="shared" si="33"/>
        <v/>
      </c>
      <c r="AH160" s="609" t="str">
        <f t="shared" si="33"/>
        <v/>
      </c>
      <c r="AI160" s="609" t="str">
        <f t="shared" si="33"/>
        <v/>
      </c>
      <c r="AJ160" s="609" t="str">
        <f t="shared" si="33"/>
        <v/>
      </c>
      <c r="AK160" s="609" t="str">
        <f t="shared" si="33"/>
        <v/>
      </c>
      <c r="AL160" s="609" t="str">
        <f t="shared" si="33"/>
        <v/>
      </c>
      <c r="AM160" s="609" t="str">
        <f t="shared" si="33"/>
        <v/>
      </c>
      <c r="AN160" s="609" t="str">
        <f t="shared" si="33"/>
        <v/>
      </c>
      <c r="AO160" s="609" t="str">
        <f t="shared" si="33"/>
        <v/>
      </c>
      <c r="AP160" s="609" t="str">
        <f t="shared" si="33"/>
        <v/>
      </c>
      <c r="AQ160" s="609" t="str">
        <f t="shared" si="33"/>
        <v/>
      </c>
      <c r="AR160" s="609" t="str">
        <f t="shared" si="33"/>
        <v/>
      </c>
      <c r="AS160" s="609" t="str">
        <f t="shared" si="33"/>
        <v/>
      </c>
      <c r="AT160" s="609" t="str">
        <f t="shared" si="33"/>
        <v/>
      </c>
      <c r="AU160" s="609" t="str">
        <f t="shared" si="33"/>
        <v/>
      </c>
      <c r="AV160" s="609" t="str">
        <f t="shared" si="33"/>
        <v/>
      </c>
      <c r="AW160" s="609" t="str">
        <f t="shared" si="33"/>
        <v/>
      </c>
      <c r="AX160" s="609" t="str">
        <f t="shared" si="33"/>
        <v/>
      </c>
      <c r="AY160" s="609" t="str">
        <f t="shared" si="33"/>
        <v/>
      </c>
      <c r="AZ160" s="609" t="str">
        <f t="shared" si="33"/>
        <v/>
      </c>
      <c r="BA160" s="609" t="str">
        <f t="shared" si="33"/>
        <v/>
      </c>
      <c r="BB160" s="609" t="str">
        <f t="shared" si="33"/>
        <v/>
      </c>
      <c r="BC160" s="609" t="str">
        <f t="shared" si="33"/>
        <v/>
      </c>
      <c r="BD160" s="609" t="str">
        <f t="shared" si="33"/>
        <v/>
      </c>
      <c r="BE160" s="609" t="str">
        <f t="shared" si="33"/>
        <v/>
      </c>
      <c r="BF160" s="609" t="str">
        <f t="shared" si="33"/>
        <v/>
      </c>
      <c r="BG160" s="609" t="str">
        <f t="shared" si="33"/>
        <v/>
      </c>
    </row>
    <row r="161" spans="2:59" x14ac:dyDescent="0.25">
      <c r="B161" s="654">
        <v>155</v>
      </c>
      <c r="C161" s="654"/>
      <c r="D161" s="654"/>
      <c r="E161" s="655"/>
      <c r="F161" s="654"/>
      <c r="H161" s="609" t="str">
        <f t="shared" si="28"/>
        <v/>
      </c>
      <c r="I161" s="609" t="str">
        <f t="shared" si="33"/>
        <v/>
      </c>
      <c r="J161" s="609" t="str">
        <f t="shared" si="33"/>
        <v/>
      </c>
      <c r="K161" s="609" t="str">
        <f t="shared" si="33"/>
        <v/>
      </c>
      <c r="L161" s="609" t="str">
        <f t="shared" si="33"/>
        <v/>
      </c>
      <c r="M161" s="609" t="str">
        <f t="shared" si="33"/>
        <v/>
      </c>
      <c r="N161" s="609" t="str">
        <f t="shared" si="33"/>
        <v/>
      </c>
      <c r="O161" s="609" t="str">
        <f t="shared" si="33"/>
        <v/>
      </c>
      <c r="P161" s="609" t="str">
        <f t="shared" si="33"/>
        <v/>
      </c>
      <c r="Q161" s="609" t="str">
        <f t="shared" si="33"/>
        <v/>
      </c>
      <c r="R161" s="609" t="str">
        <f t="shared" si="33"/>
        <v/>
      </c>
      <c r="S161" s="609" t="str">
        <f t="shared" si="33"/>
        <v/>
      </c>
      <c r="T161" s="609" t="str">
        <f t="shared" si="33"/>
        <v/>
      </c>
      <c r="U161" s="609" t="str">
        <f t="shared" si="33"/>
        <v/>
      </c>
      <c r="V161" s="609" t="str">
        <f t="shared" si="33"/>
        <v/>
      </c>
      <c r="W161" s="609" t="str">
        <f t="shared" si="33"/>
        <v/>
      </c>
      <c r="X161" s="609" t="str">
        <f t="shared" si="33"/>
        <v/>
      </c>
      <c r="Y161" s="609" t="str">
        <f t="shared" si="33"/>
        <v/>
      </c>
      <c r="Z161" s="609" t="str">
        <f t="shared" si="33"/>
        <v/>
      </c>
      <c r="AA161" s="609" t="str">
        <f t="shared" si="33"/>
        <v/>
      </c>
      <c r="AB161" s="609" t="str">
        <f t="shared" si="33"/>
        <v/>
      </c>
      <c r="AC161" s="609" t="str">
        <f t="shared" si="33"/>
        <v/>
      </c>
      <c r="AD161" s="609" t="str">
        <f t="shared" si="33"/>
        <v/>
      </c>
      <c r="AE161" s="609" t="str">
        <f t="shared" si="33"/>
        <v/>
      </c>
      <c r="AF161" s="609" t="str">
        <f t="shared" si="33"/>
        <v/>
      </c>
      <c r="AG161" s="609" t="str">
        <f t="shared" si="33"/>
        <v/>
      </c>
      <c r="AH161" s="609" t="str">
        <f t="shared" si="33"/>
        <v/>
      </c>
      <c r="AI161" s="609" t="str">
        <f t="shared" si="33"/>
        <v/>
      </c>
      <c r="AJ161" s="609" t="str">
        <f t="shared" si="33"/>
        <v/>
      </c>
      <c r="AK161" s="609" t="str">
        <f t="shared" si="33"/>
        <v/>
      </c>
      <c r="AL161" s="609" t="str">
        <f t="shared" si="33"/>
        <v/>
      </c>
      <c r="AM161" s="609" t="str">
        <f t="shared" si="33"/>
        <v/>
      </c>
      <c r="AN161" s="609" t="str">
        <f t="shared" si="33"/>
        <v/>
      </c>
      <c r="AO161" s="609" t="str">
        <f t="shared" si="33"/>
        <v/>
      </c>
      <c r="AP161" s="609" t="str">
        <f t="shared" si="33"/>
        <v/>
      </c>
      <c r="AQ161" s="609" t="str">
        <f t="shared" si="33"/>
        <v/>
      </c>
      <c r="AR161" s="609" t="str">
        <f t="shared" si="33"/>
        <v/>
      </c>
      <c r="AS161" s="609" t="str">
        <f t="shared" si="33"/>
        <v/>
      </c>
      <c r="AT161" s="609" t="str">
        <f t="shared" si="33"/>
        <v/>
      </c>
      <c r="AU161" s="609" t="str">
        <f t="shared" si="33"/>
        <v/>
      </c>
      <c r="AV161" s="609" t="str">
        <f t="shared" si="33"/>
        <v/>
      </c>
      <c r="AW161" s="609" t="str">
        <f t="shared" si="33"/>
        <v/>
      </c>
      <c r="AX161" s="609" t="str">
        <f t="shared" si="33"/>
        <v/>
      </c>
      <c r="AY161" s="609" t="str">
        <f t="shared" si="33"/>
        <v/>
      </c>
      <c r="AZ161" s="609" t="str">
        <f t="shared" si="33"/>
        <v/>
      </c>
      <c r="BA161" s="609" t="str">
        <f t="shared" si="33"/>
        <v/>
      </c>
      <c r="BB161" s="609" t="str">
        <f t="shared" si="33"/>
        <v/>
      </c>
      <c r="BC161" s="609" t="str">
        <f t="shared" si="33"/>
        <v/>
      </c>
      <c r="BD161" s="609" t="str">
        <f t="shared" si="33"/>
        <v/>
      </c>
      <c r="BE161" s="609" t="str">
        <f t="shared" si="33"/>
        <v/>
      </c>
      <c r="BF161" s="609" t="str">
        <f t="shared" si="33"/>
        <v/>
      </c>
      <c r="BG161" s="609" t="str">
        <f t="shared" si="33"/>
        <v/>
      </c>
    </row>
    <row r="162" spans="2:59" x14ac:dyDescent="0.25">
      <c r="B162" s="654">
        <v>156</v>
      </c>
      <c r="C162" s="654"/>
      <c r="D162" s="654"/>
      <c r="E162" s="655"/>
      <c r="F162" s="654"/>
      <c r="H162" s="609" t="str">
        <f t="shared" si="28"/>
        <v/>
      </c>
      <c r="I162" s="609" t="str">
        <f t="shared" si="33"/>
        <v/>
      </c>
      <c r="J162" s="609" t="str">
        <f t="shared" si="33"/>
        <v/>
      </c>
      <c r="K162" s="609" t="str">
        <f t="shared" si="33"/>
        <v/>
      </c>
      <c r="L162" s="609" t="str">
        <f t="shared" si="33"/>
        <v/>
      </c>
      <c r="M162" s="609" t="str">
        <f t="shared" si="33"/>
        <v/>
      </c>
      <c r="N162" s="609" t="str">
        <f t="shared" si="33"/>
        <v/>
      </c>
      <c r="O162" s="609" t="str">
        <f t="shared" si="33"/>
        <v/>
      </c>
      <c r="P162" s="609" t="str">
        <f t="shared" si="33"/>
        <v/>
      </c>
      <c r="Q162" s="609" t="str">
        <f t="shared" si="33"/>
        <v/>
      </c>
      <c r="R162" s="609" t="str">
        <f t="shared" si="33"/>
        <v/>
      </c>
      <c r="S162" s="609" t="str">
        <f t="shared" si="33"/>
        <v/>
      </c>
      <c r="T162" s="609" t="str">
        <f t="shared" si="33"/>
        <v/>
      </c>
      <c r="U162" s="609" t="str">
        <f t="shared" si="33"/>
        <v/>
      </c>
      <c r="V162" s="609" t="str">
        <f t="shared" si="33"/>
        <v/>
      </c>
      <c r="W162" s="609" t="str">
        <f t="shared" si="33"/>
        <v/>
      </c>
      <c r="X162" s="609" t="str">
        <f t="shared" si="33"/>
        <v/>
      </c>
      <c r="Y162" s="609" t="str">
        <f t="shared" si="33"/>
        <v/>
      </c>
      <c r="Z162" s="609" t="str">
        <f t="shared" si="33"/>
        <v/>
      </c>
      <c r="AA162" s="609" t="str">
        <f t="shared" si="33"/>
        <v/>
      </c>
      <c r="AB162" s="609" t="str">
        <f t="shared" si="33"/>
        <v/>
      </c>
      <c r="AC162" s="609" t="str">
        <f t="shared" si="33"/>
        <v/>
      </c>
      <c r="AD162" s="609" t="str">
        <f t="shared" si="33"/>
        <v/>
      </c>
      <c r="AE162" s="609" t="str">
        <f t="shared" si="33"/>
        <v/>
      </c>
      <c r="AF162" s="609" t="str">
        <f t="shared" si="33"/>
        <v/>
      </c>
      <c r="AG162" s="609" t="str">
        <f t="shared" si="33"/>
        <v/>
      </c>
      <c r="AH162" s="609" t="str">
        <f t="shared" si="33"/>
        <v/>
      </c>
      <c r="AI162" s="609" t="str">
        <f t="shared" si="33"/>
        <v/>
      </c>
      <c r="AJ162" s="609" t="str">
        <f t="shared" si="33"/>
        <v/>
      </c>
      <c r="AK162" s="609" t="str">
        <f t="shared" si="33"/>
        <v/>
      </c>
      <c r="AL162" s="609" t="str">
        <f t="shared" si="33"/>
        <v/>
      </c>
      <c r="AM162" s="609" t="str">
        <f t="shared" si="33"/>
        <v/>
      </c>
      <c r="AN162" s="609" t="str">
        <f t="shared" si="33"/>
        <v/>
      </c>
      <c r="AO162" s="609" t="str">
        <f t="shared" si="33"/>
        <v/>
      </c>
      <c r="AP162" s="609" t="str">
        <f t="shared" si="33"/>
        <v/>
      </c>
      <c r="AQ162" s="609" t="str">
        <f t="shared" si="33"/>
        <v/>
      </c>
      <c r="AR162" s="609" t="str">
        <f t="shared" si="33"/>
        <v/>
      </c>
      <c r="AS162" s="609" t="str">
        <f t="shared" si="33"/>
        <v/>
      </c>
      <c r="AT162" s="609" t="str">
        <f t="shared" si="33"/>
        <v/>
      </c>
      <c r="AU162" s="609" t="str">
        <f t="shared" si="33"/>
        <v/>
      </c>
      <c r="AV162" s="609" t="str">
        <f t="shared" si="33"/>
        <v/>
      </c>
      <c r="AW162" s="609" t="str">
        <f t="shared" si="33"/>
        <v/>
      </c>
      <c r="AX162" s="609" t="str">
        <f t="shared" si="33"/>
        <v/>
      </c>
      <c r="AY162" s="609" t="str">
        <f t="shared" si="33"/>
        <v/>
      </c>
      <c r="AZ162" s="609" t="str">
        <f t="shared" si="33"/>
        <v/>
      </c>
      <c r="BA162" s="609" t="str">
        <f t="shared" si="33"/>
        <v/>
      </c>
      <c r="BB162" s="609" t="str">
        <f t="shared" ref="I162:BG167" si="34">IF($D162=BB$6,$B162&amp;", ","")</f>
        <v/>
      </c>
      <c r="BC162" s="609" t="str">
        <f t="shared" si="34"/>
        <v/>
      </c>
      <c r="BD162" s="609" t="str">
        <f t="shared" si="34"/>
        <v/>
      </c>
      <c r="BE162" s="609" t="str">
        <f t="shared" si="34"/>
        <v/>
      </c>
      <c r="BF162" s="609" t="str">
        <f t="shared" si="34"/>
        <v/>
      </c>
      <c r="BG162" s="609" t="str">
        <f t="shared" si="34"/>
        <v/>
      </c>
    </row>
    <row r="163" spans="2:59" x14ac:dyDescent="0.25">
      <c r="B163" s="654">
        <v>157</v>
      </c>
      <c r="C163" s="654"/>
      <c r="D163" s="654"/>
      <c r="E163" s="655"/>
      <c r="F163" s="654"/>
      <c r="H163" s="609" t="str">
        <f t="shared" si="28"/>
        <v/>
      </c>
      <c r="I163" s="609" t="str">
        <f t="shared" si="34"/>
        <v/>
      </c>
      <c r="J163" s="609" t="str">
        <f t="shared" si="34"/>
        <v/>
      </c>
      <c r="K163" s="609" t="str">
        <f t="shared" si="34"/>
        <v/>
      </c>
      <c r="L163" s="609" t="str">
        <f t="shared" si="34"/>
        <v/>
      </c>
      <c r="M163" s="609" t="str">
        <f t="shared" si="34"/>
        <v/>
      </c>
      <c r="N163" s="609" t="str">
        <f t="shared" si="34"/>
        <v/>
      </c>
      <c r="O163" s="609" t="str">
        <f t="shared" si="34"/>
        <v/>
      </c>
      <c r="P163" s="609" t="str">
        <f t="shared" si="34"/>
        <v/>
      </c>
      <c r="Q163" s="609" t="str">
        <f t="shared" si="34"/>
        <v/>
      </c>
      <c r="R163" s="609" t="str">
        <f t="shared" si="34"/>
        <v/>
      </c>
      <c r="S163" s="609" t="str">
        <f t="shared" si="34"/>
        <v/>
      </c>
      <c r="T163" s="609" t="str">
        <f t="shared" si="34"/>
        <v/>
      </c>
      <c r="U163" s="609" t="str">
        <f t="shared" si="34"/>
        <v/>
      </c>
      <c r="V163" s="609" t="str">
        <f t="shared" si="34"/>
        <v/>
      </c>
      <c r="W163" s="609" t="str">
        <f t="shared" si="34"/>
        <v/>
      </c>
      <c r="X163" s="609" t="str">
        <f t="shared" si="34"/>
        <v/>
      </c>
      <c r="Y163" s="609" t="str">
        <f t="shared" si="34"/>
        <v/>
      </c>
      <c r="Z163" s="609" t="str">
        <f t="shared" si="34"/>
        <v/>
      </c>
      <c r="AA163" s="609" t="str">
        <f t="shared" si="34"/>
        <v/>
      </c>
      <c r="AB163" s="609" t="str">
        <f t="shared" si="34"/>
        <v/>
      </c>
      <c r="AC163" s="609" t="str">
        <f t="shared" si="34"/>
        <v/>
      </c>
      <c r="AD163" s="609" t="str">
        <f t="shared" si="34"/>
        <v/>
      </c>
      <c r="AE163" s="609" t="str">
        <f t="shared" si="34"/>
        <v/>
      </c>
      <c r="AF163" s="609" t="str">
        <f t="shared" si="34"/>
        <v/>
      </c>
      <c r="AG163" s="609" t="str">
        <f t="shared" si="34"/>
        <v/>
      </c>
      <c r="AH163" s="609" t="str">
        <f t="shared" si="34"/>
        <v/>
      </c>
      <c r="AI163" s="609" t="str">
        <f t="shared" si="34"/>
        <v/>
      </c>
      <c r="AJ163" s="609" t="str">
        <f t="shared" si="34"/>
        <v/>
      </c>
      <c r="AK163" s="609" t="str">
        <f t="shared" si="34"/>
        <v/>
      </c>
      <c r="AL163" s="609" t="str">
        <f t="shared" si="34"/>
        <v/>
      </c>
      <c r="AM163" s="609" t="str">
        <f t="shared" si="34"/>
        <v/>
      </c>
      <c r="AN163" s="609" t="str">
        <f t="shared" si="34"/>
        <v/>
      </c>
      <c r="AO163" s="609" t="str">
        <f t="shared" si="34"/>
        <v/>
      </c>
      <c r="AP163" s="609" t="str">
        <f t="shared" si="34"/>
        <v/>
      </c>
      <c r="AQ163" s="609" t="str">
        <f t="shared" si="34"/>
        <v/>
      </c>
      <c r="AR163" s="609" t="str">
        <f t="shared" si="34"/>
        <v/>
      </c>
      <c r="AS163" s="609" t="str">
        <f t="shared" si="34"/>
        <v/>
      </c>
      <c r="AT163" s="609" t="str">
        <f t="shared" si="34"/>
        <v/>
      </c>
      <c r="AU163" s="609" t="str">
        <f t="shared" si="34"/>
        <v/>
      </c>
      <c r="AV163" s="609" t="str">
        <f t="shared" si="34"/>
        <v/>
      </c>
      <c r="AW163" s="609" t="str">
        <f t="shared" si="34"/>
        <v/>
      </c>
      <c r="AX163" s="609" t="str">
        <f t="shared" si="34"/>
        <v/>
      </c>
      <c r="AY163" s="609" t="str">
        <f t="shared" si="34"/>
        <v/>
      </c>
      <c r="AZ163" s="609" t="str">
        <f t="shared" si="34"/>
        <v/>
      </c>
      <c r="BA163" s="609" t="str">
        <f t="shared" si="34"/>
        <v/>
      </c>
      <c r="BB163" s="609" t="str">
        <f t="shared" si="34"/>
        <v/>
      </c>
      <c r="BC163" s="609" t="str">
        <f t="shared" si="34"/>
        <v/>
      </c>
      <c r="BD163" s="609" t="str">
        <f t="shared" si="34"/>
        <v/>
      </c>
      <c r="BE163" s="609" t="str">
        <f t="shared" si="34"/>
        <v/>
      </c>
      <c r="BF163" s="609" t="str">
        <f t="shared" si="34"/>
        <v/>
      </c>
      <c r="BG163" s="609" t="str">
        <f t="shared" si="34"/>
        <v/>
      </c>
    </row>
    <row r="164" spans="2:59" x14ac:dyDescent="0.25">
      <c r="B164" s="654">
        <v>158</v>
      </c>
      <c r="C164" s="654"/>
      <c r="D164" s="654"/>
      <c r="E164" s="655"/>
      <c r="F164" s="654"/>
      <c r="H164" s="609" t="str">
        <f t="shared" si="28"/>
        <v/>
      </c>
      <c r="I164" s="609" t="str">
        <f t="shared" si="34"/>
        <v/>
      </c>
      <c r="J164" s="609" t="str">
        <f t="shared" si="34"/>
        <v/>
      </c>
      <c r="K164" s="609" t="str">
        <f t="shared" si="34"/>
        <v/>
      </c>
      <c r="L164" s="609" t="str">
        <f t="shared" si="34"/>
        <v/>
      </c>
      <c r="M164" s="609" t="str">
        <f t="shared" si="34"/>
        <v/>
      </c>
      <c r="N164" s="609" t="str">
        <f t="shared" si="34"/>
        <v/>
      </c>
      <c r="O164" s="609" t="str">
        <f t="shared" si="34"/>
        <v/>
      </c>
      <c r="P164" s="609" t="str">
        <f t="shared" si="34"/>
        <v/>
      </c>
      <c r="Q164" s="609" t="str">
        <f t="shared" si="34"/>
        <v/>
      </c>
      <c r="R164" s="609" t="str">
        <f t="shared" si="34"/>
        <v/>
      </c>
      <c r="S164" s="609" t="str">
        <f t="shared" si="34"/>
        <v/>
      </c>
      <c r="T164" s="609" t="str">
        <f t="shared" si="34"/>
        <v/>
      </c>
      <c r="U164" s="609" t="str">
        <f t="shared" si="34"/>
        <v/>
      </c>
      <c r="V164" s="609" t="str">
        <f t="shared" si="34"/>
        <v/>
      </c>
      <c r="W164" s="609" t="str">
        <f t="shared" si="34"/>
        <v/>
      </c>
      <c r="X164" s="609" t="str">
        <f t="shared" si="34"/>
        <v/>
      </c>
      <c r="Y164" s="609" t="str">
        <f t="shared" si="34"/>
        <v/>
      </c>
      <c r="Z164" s="609" t="str">
        <f t="shared" si="34"/>
        <v/>
      </c>
      <c r="AA164" s="609" t="str">
        <f t="shared" si="34"/>
        <v/>
      </c>
      <c r="AB164" s="609" t="str">
        <f t="shared" si="34"/>
        <v/>
      </c>
      <c r="AC164" s="609" t="str">
        <f t="shared" si="34"/>
        <v/>
      </c>
      <c r="AD164" s="609" t="str">
        <f t="shared" si="34"/>
        <v/>
      </c>
      <c r="AE164" s="609" t="str">
        <f t="shared" si="34"/>
        <v/>
      </c>
      <c r="AF164" s="609" t="str">
        <f t="shared" si="34"/>
        <v/>
      </c>
      <c r="AG164" s="609" t="str">
        <f t="shared" si="34"/>
        <v/>
      </c>
      <c r="AH164" s="609" t="str">
        <f t="shared" si="34"/>
        <v/>
      </c>
      <c r="AI164" s="609" t="str">
        <f t="shared" si="34"/>
        <v/>
      </c>
      <c r="AJ164" s="609" t="str">
        <f t="shared" si="34"/>
        <v/>
      </c>
      <c r="AK164" s="609" t="str">
        <f t="shared" si="34"/>
        <v/>
      </c>
      <c r="AL164" s="609" t="str">
        <f t="shared" si="34"/>
        <v/>
      </c>
      <c r="AM164" s="609" t="str">
        <f t="shared" si="34"/>
        <v/>
      </c>
      <c r="AN164" s="609" t="str">
        <f t="shared" si="34"/>
        <v/>
      </c>
      <c r="AO164" s="609" t="str">
        <f t="shared" si="34"/>
        <v/>
      </c>
      <c r="AP164" s="609" t="str">
        <f t="shared" si="34"/>
        <v/>
      </c>
      <c r="AQ164" s="609" t="str">
        <f t="shared" si="34"/>
        <v/>
      </c>
      <c r="AR164" s="609" t="str">
        <f t="shared" si="34"/>
        <v/>
      </c>
      <c r="AS164" s="609" t="str">
        <f t="shared" si="34"/>
        <v/>
      </c>
      <c r="AT164" s="609" t="str">
        <f t="shared" si="34"/>
        <v/>
      </c>
      <c r="AU164" s="609" t="str">
        <f t="shared" si="34"/>
        <v/>
      </c>
      <c r="AV164" s="609" t="str">
        <f t="shared" si="34"/>
        <v/>
      </c>
      <c r="AW164" s="609" t="str">
        <f t="shared" si="34"/>
        <v/>
      </c>
      <c r="AX164" s="609" t="str">
        <f t="shared" si="34"/>
        <v/>
      </c>
      <c r="AY164" s="609" t="str">
        <f t="shared" si="34"/>
        <v/>
      </c>
      <c r="AZ164" s="609" t="str">
        <f t="shared" si="34"/>
        <v/>
      </c>
      <c r="BA164" s="609" t="str">
        <f t="shared" si="34"/>
        <v/>
      </c>
      <c r="BB164" s="609" t="str">
        <f t="shared" si="34"/>
        <v/>
      </c>
      <c r="BC164" s="609" t="str">
        <f t="shared" si="34"/>
        <v/>
      </c>
      <c r="BD164" s="609" t="str">
        <f t="shared" si="34"/>
        <v/>
      </c>
      <c r="BE164" s="609" t="str">
        <f t="shared" si="34"/>
        <v/>
      </c>
      <c r="BF164" s="609" t="str">
        <f t="shared" si="34"/>
        <v/>
      </c>
      <c r="BG164" s="609" t="str">
        <f t="shared" si="34"/>
        <v/>
      </c>
    </row>
    <row r="165" spans="2:59" x14ac:dyDescent="0.25">
      <c r="B165" s="654">
        <v>159</v>
      </c>
      <c r="C165" s="654"/>
      <c r="D165" s="654"/>
      <c r="E165" s="655"/>
      <c r="F165" s="654"/>
      <c r="H165" s="609" t="str">
        <f t="shared" si="28"/>
        <v/>
      </c>
      <c r="I165" s="609" t="str">
        <f t="shared" si="34"/>
        <v/>
      </c>
      <c r="J165" s="609" t="str">
        <f t="shared" si="34"/>
        <v/>
      </c>
      <c r="K165" s="609" t="str">
        <f t="shared" si="34"/>
        <v/>
      </c>
      <c r="L165" s="609" t="str">
        <f t="shared" si="34"/>
        <v/>
      </c>
      <c r="M165" s="609" t="str">
        <f t="shared" si="34"/>
        <v/>
      </c>
      <c r="N165" s="609" t="str">
        <f t="shared" si="34"/>
        <v/>
      </c>
      <c r="O165" s="609" t="str">
        <f t="shared" si="34"/>
        <v/>
      </c>
      <c r="P165" s="609" t="str">
        <f t="shared" si="34"/>
        <v/>
      </c>
      <c r="Q165" s="609" t="str">
        <f t="shared" si="34"/>
        <v/>
      </c>
      <c r="R165" s="609" t="str">
        <f t="shared" si="34"/>
        <v/>
      </c>
      <c r="S165" s="609" t="str">
        <f t="shared" si="34"/>
        <v/>
      </c>
      <c r="T165" s="609" t="str">
        <f t="shared" si="34"/>
        <v/>
      </c>
      <c r="U165" s="609" t="str">
        <f t="shared" si="34"/>
        <v/>
      </c>
      <c r="V165" s="609" t="str">
        <f t="shared" si="34"/>
        <v/>
      </c>
      <c r="W165" s="609" t="str">
        <f t="shared" si="34"/>
        <v/>
      </c>
      <c r="X165" s="609" t="str">
        <f t="shared" si="34"/>
        <v/>
      </c>
      <c r="Y165" s="609" t="str">
        <f t="shared" si="34"/>
        <v/>
      </c>
      <c r="Z165" s="609" t="str">
        <f t="shared" si="34"/>
        <v/>
      </c>
      <c r="AA165" s="609" t="str">
        <f t="shared" si="34"/>
        <v/>
      </c>
      <c r="AB165" s="609" t="str">
        <f t="shared" si="34"/>
        <v/>
      </c>
      <c r="AC165" s="609" t="str">
        <f t="shared" si="34"/>
        <v/>
      </c>
      <c r="AD165" s="609" t="str">
        <f t="shared" si="34"/>
        <v/>
      </c>
      <c r="AE165" s="609" t="str">
        <f t="shared" si="34"/>
        <v/>
      </c>
      <c r="AF165" s="609" t="str">
        <f t="shared" si="34"/>
        <v/>
      </c>
      <c r="AG165" s="609" t="str">
        <f t="shared" si="34"/>
        <v/>
      </c>
      <c r="AH165" s="609" t="str">
        <f t="shared" si="34"/>
        <v/>
      </c>
      <c r="AI165" s="609" t="str">
        <f t="shared" si="34"/>
        <v/>
      </c>
      <c r="AJ165" s="609" t="str">
        <f t="shared" si="34"/>
        <v/>
      </c>
      <c r="AK165" s="609" t="str">
        <f t="shared" si="34"/>
        <v/>
      </c>
      <c r="AL165" s="609" t="str">
        <f t="shared" si="34"/>
        <v/>
      </c>
      <c r="AM165" s="609" t="str">
        <f t="shared" si="34"/>
        <v/>
      </c>
      <c r="AN165" s="609" t="str">
        <f t="shared" si="34"/>
        <v/>
      </c>
      <c r="AO165" s="609" t="str">
        <f t="shared" si="34"/>
        <v/>
      </c>
      <c r="AP165" s="609" t="str">
        <f t="shared" si="34"/>
        <v/>
      </c>
      <c r="AQ165" s="609" t="str">
        <f t="shared" si="34"/>
        <v/>
      </c>
      <c r="AR165" s="609" t="str">
        <f t="shared" si="34"/>
        <v/>
      </c>
      <c r="AS165" s="609" t="str">
        <f t="shared" si="34"/>
        <v/>
      </c>
      <c r="AT165" s="609" t="str">
        <f t="shared" si="34"/>
        <v/>
      </c>
      <c r="AU165" s="609" t="str">
        <f t="shared" si="34"/>
        <v/>
      </c>
      <c r="AV165" s="609" t="str">
        <f t="shared" si="34"/>
        <v/>
      </c>
      <c r="AW165" s="609" t="str">
        <f t="shared" si="34"/>
        <v/>
      </c>
      <c r="AX165" s="609" t="str">
        <f t="shared" si="34"/>
        <v/>
      </c>
      <c r="AY165" s="609" t="str">
        <f t="shared" si="34"/>
        <v/>
      </c>
      <c r="AZ165" s="609" t="str">
        <f t="shared" si="34"/>
        <v/>
      </c>
      <c r="BA165" s="609" t="str">
        <f t="shared" si="34"/>
        <v/>
      </c>
      <c r="BB165" s="609" t="str">
        <f t="shared" si="34"/>
        <v/>
      </c>
      <c r="BC165" s="609" t="str">
        <f t="shared" si="34"/>
        <v/>
      </c>
      <c r="BD165" s="609" t="str">
        <f t="shared" si="34"/>
        <v/>
      </c>
      <c r="BE165" s="609" t="str">
        <f t="shared" si="34"/>
        <v/>
      </c>
      <c r="BF165" s="609" t="str">
        <f t="shared" si="34"/>
        <v/>
      </c>
      <c r="BG165" s="609" t="str">
        <f t="shared" si="34"/>
        <v/>
      </c>
    </row>
    <row r="166" spans="2:59" x14ac:dyDescent="0.25">
      <c r="B166" s="654">
        <v>160</v>
      </c>
      <c r="C166" s="654"/>
      <c r="D166" s="654"/>
      <c r="E166" s="655"/>
      <c r="F166" s="654"/>
      <c r="H166" s="609" t="str">
        <f t="shared" si="28"/>
        <v/>
      </c>
      <c r="I166" s="609" t="str">
        <f t="shared" si="34"/>
        <v/>
      </c>
      <c r="J166" s="609" t="str">
        <f t="shared" si="34"/>
        <v/>
      </c>
      <c r="K166" s="609" t="str">
        <f t="shared" si="34"/>
        <v/>
      </c>
      <c r="L166" s="609" t="str">
        <f t="shared" si="34"/>
        <v/>
      </c>
      <c r="M166" s="609" t="str">
        <f t="shared" si="34"/>
        <v/>
      </c>
      <c r="N166" s="609" t="str">
        <f t="shared" si="34"/>
        <v/>
      </c>
      <c r="O166" s="609" t="str">
        <f t="shared" si="34"/>
        <v/>
      </c>
      <c r="P166" s="609" t="str">
        <f t="shared" si="34"/>
        <v/>
      </c>
      <c r="Q166" s="609" t="str">
        <f t="shared" si="34"/>
        <v/>
      </c>
      <c r="R166" s="609" t="str">
        <f t="shared" si="34"/>
        <v/>
      </c>
      <c r="S166" s="609" t="str">
        <f t="shared" si="34"/>
        <v/>
      </c>
      <c r="T166" s="609" t="str">
        <f t="shared" si="34"/>
        <v/>
      </c>
      <c r="U166" s="609" t="str">
        <f t="shared" si="34"/>
        <v/>
      </c>
      <c r="V166" s="609" t="str">
        <f t="shared" si="34"/>
        <v/>
      </c>
      <c r="W166" s="609" t="str">
        <f t="shared" si="34"/>
        <v/>
      </c>
      <c r="X166" s="609" t="str">
        <f t="shared" si="34"/>
        <v/>
      </c>
      <c r="Y166" s="609" t="str">
        <f t="shared" si="34"/>
        <v/>
      </c>
      <c r="Z166" s="609" t="str">
        <f t="shared" si="34"/>
        <v/>
      </c>
      <c r="AA166" s="609" t="str">
        <f t="shared" si="34"/>
        <v/>
      </c>
      <c r="AB166" s="609" t="str">
        <f t="shared" si="34"/>
        <v/>
      </c>
      <c r="AC166" s="609" t="str">
        <f t="shared" si="34"/>
        <v/>
      </c>
      <c r="AD166" s="609" t="str">
        <f t="shared" si="34"/>
        <v/>
      </c>
      <c r="AE166" s="609" t="str">
        <f t="shared" si="34"/>
        <v/>
      </c>
      <c r="AF166" s="609" t="str">
        <f t="shared" si="34"/>
        <v/>
      </c>
      <c r="AG166" s="609" t="str">
        <f t="shared" si="34"/>
        <v/>
      </c>
      <c r="AH166" s="609" t="str">
        <f t="shared" si="34"/>
        <v/>
      </c>
      <c r="AI166" s="609" t="str">
        <f t="shared" si="34"/>
        <v/>
      </c>
      <c r="AJ166" s="609" t="str">
        <f t="shared" si="34"/>
        <v/>
      </c>
      <c r="AK166" s="609" t="str">
        <f t="shared" si="34"/>
        <v/>
      </c>
      <c r="AL166" s="609" t="str">
        <f t="shared" si="34"/>
        <v/>
      </c>
      <c r="AM166" s="609" t="str">
        <f t="shared" si="34"/>
        <v/>
      </c>
      <c r="AN166" s="609" t="str">
        <f t="shared" si="34"/>
        <v/>
      </c>
      <c r="AO166" s="609" t="str">
        <f t="shared" si="34"/>
        <v/>
      </c>
      <c r="AP166" s="609" t="str">
        <f t="shared" si="34"/>
        <v/>
      </c>
      <c r="AQ166" s="609" t="str">
        <f t="shared" si="34"/>
        <v/>
      </c>
      <c r="AR166" s="609" t="str">
        <f t="shared" si="34"/>
        <v/>
      </c>
      <c r="AS166" s="609" t="str">
        <f t="shared" si="34"/>
        <v/>
      </c>
      <c r="AT166" s="609" t="str">
        <f t="shared" si="34"/>
        <v/>
      </c>
      <c r="AU166" s="609" t="str">
        <f t="shared" si="34"/>
        <v/>
      </c>
      <c r="AV166" s="609" t="str">
        <f t="shared" si="34"/>
        <v/>
      </c>
      <c r="AW166" s="609" t="str">
        <f t="shared" si="34"/>
        <v/>
      </c>
      <c r="AX166" s="609" t="str">
        <f t="shared" si="34"/>
        <v/>
      </c>
      <c r="AY166" s="609" t="str">
        <f t="shared" si="34"/>
        <v/>
      </c>
      <c r="AZ166" s="609" t="str">
        <f t="shared" si="34"/>
        <v/>
      </c>
      <c r="BA166" s="609" t="str">
        <f t="shared" si="34"/>
        <v/>
      </c>
      <c r="BB166" s="609" t="str">
        <f t="shared" si="34"/>
        <v/>
      </c>
      <c r="BC166" s="609" t="str">
        <f t="shared" si="34"/>
        <v/>
      </c>
      <c r="BD166" s="609" t="str">
        <f t="shared" si="34"/>
        <v/>
      </c>
      <c r="BE166" s="609" t="str">
        <f t="shared" si="34"/>
        <v/>
      </c>
      <c r="BF166" s="609" t="str">
        <f t="shared" si="34"/>
        <v/>
      </c>
      <c r="BG166" s="609" t="str">
        <f t="shared" si="34"/>
        <v/>
      </c>
    </row>
    <row r="167" spans="2:59" x14ac:dyDescent="0.25">
      <c r="B167" s="654">
        <v>161</v>
      </c>
      <c r="C167" s="654"/>
      <c r="D167" s="654"/>
      <c r="E167" s="655"/>
      <c r="F167" s="654"/>
      <c r="H167" s="609" t="str">
        <f t="shared" si="28"/>
        <v/>
      </c>
      <c r="I167" s="609" t="str">
        <f t="shared" si="34"/>
        <v/>
      </c>
      <c r="J167" s="609" t="str">
        <f t="shared" si="34"/>
        <v/>
      </c>
      <c r="K167" s="609" t="str">
        <f t="shared" si="34"/>
        <v/>
      </c>
      <c r="L167" s="609" t="str">
        <f t="shared" si="34"/>
        <v/>
      </c>
      <c r="M167" s="609" t="str">
        <f t="shared" si="34"/>
        <v/>
      </c>
      <c r="N167" s="609" t="str">
        <f t="shared" si="34"/>
        <v/>
      </c>
      <c r="O167" s="609" t="str">
        <f t="shared" si="34"/>
        <v/>
      </c>
      <c r="P167" s="609" t="str">
        <f t="shared" si="34"/>
        <v/>
      </c>
      <c r="Q167" s="609" t="str">
        <f t="shared" si="34"/>
        <v/>
      </c>
      <c r="R167" s="609" t="str">
        <f t="shared" si="34"/>
        <v/>
      </c>
      <c r="S167" s="609" t="str">
        <f t="shared" si="34"/>
        <v/>
      </c>
      <c r="T167" s="609" t="str">
        <f t="shared" si="34"/>
        <v/>
      </c>
      <c r="U167" s="609" t="str">
        <f t="shared" si="34"/>
        <v/>
      </c>
      <c r="V167" s="609" t="str">
        <f t="shared" si="34"/>
        <v/>
      </c>
      <c r="W167" s="609" t="str">
        <f t="shared" si="34"/>
        <v/>
      </c>
      <c r="X167" s="609" t="str">
        <f t="shared" si="34"/>
        <v/>
      </c>
      <c r="Y167" s="609" t="str">
        <f t="shared" si="34"/>
        <v/>
      </c>
      <c r="Z167" s="609" t="str">
        <f t="shared" si="34"/>
        <v/>
      </c>
      <c r="AA167" s="609" t="str">
        <f t="shared" si="34"/>
        <v/>
      </c>
      <c r="AB167" s="609" t="str">
        <f t="shared" si="34"/>
        <v/>
      </c>
      <c r="AC167" s="609" t="str">
        <f t="shared" si="34"/>
        <v/>
      </c>
      <c r="AD167" s="609" t="str">
        <f t="shared" si="34"/>
        <v/>
      </c>
      <c r="AE167" s="609" t="str">
        <f t="shared" si="34"/>
        <v/>
      </c>
      <c r="AF167" s="609" t="str">
        <f t="shared" si="34"/>
        <v/>
      </c>
      <c r="AG167" s="609" t="str">
        <f t="shared" si="34"/>
        <v/>
      </c>
      <c r="AH167" s="609" t="str">
        <f t="shared" si="34"/>
        <v/>
      </c>
      <c r="AI167" s="609" t="str">
        <f t="shared" si="34"/>
        <v/>
      </c>
      <c r="AJ167" s="609" t="str">
        <f t="shared" si="34"/>
        <v/>
      </c>
      <c r="AK167" s="609" t="str">
        <f t="shared" si="34"/>
        <v/>
      </c>
      <c r="AL167" s="609" t="str">
        <f t="shared" si="34"/>
        <v/>
      </c>
      <c r="AM167" s="609" t="str">
        <f t="shared" si="34"/>
        <v/>
      </c>
      <c r="AN167" s="609" t="str">
        <f t="shared" si="34"/>
        <v/>
      </c>
      <c r="AO167" s="609" t="str">
        <f t="shared" si="34"/>
        <v/>
      </c>
      <c r="AP167" s="609" t="str">
        <f t="shared" si="34"/>
        <v/>
      </c>
      <c r="AQ167" s="609" t="str">
        <f t="shared" si="34"/>
        <v/>
      </c>
      <c r="AR167" s="609" t="str">
        <f t="shared" si="34"/>
        <v/>
      </c>
      <c r="AS167" s="609" t="str">
        <f t="shared" si="34"/>
        <v/>
      </c>
      <c r="AT167" s="609" t="str">
        <f t="shared" si="34"/>
        <v/>
      </c>
      <c r="AU167" s="609" t="str">
        <f t="shared" si="34"/>
        <v/>
      </c>
      <c r="AV167" s="609" t="str">
        <f t="shared" si="34"/>
        <v/>
      </c>
      <c r="AW167" s="609" t="str">
        <f t="shared" si="34"/>
        <v/>
      </c>
      <c r="AX167" s="609" t="str">
        <f t="shared" si="34"/>
        <v/>
      </c>
      <c r="AY167" s="609" t="str">
        <f t="shared" si="34"/>
        <v/>
      </c>
      <c r="AZ167" s="609" t="str">
        <f t="shared" si="34"/>
        <v/>
      </c>
      <c r="BA167" s="609" t="str">
        <f t="shared" si="34"/>
        <v/>
      </c>
      <c r="BB167" s="609" t="str">
        <f t="shared" ref="I167:BG172" si="35">IF($D167=BB$6,$B167&amp;", ","")</f>
        <v/>
      </c>
      <c r="BC167" s="609" t="str">
        <f t="shared" si="35"/>
        <v/>
      </c>
      <c r="BD167" s="609" t="str">
        <f t="shared" si="35"/>
        <v/>
      </c>
      <c r="BE167" s="609" t="str">
        <f t="shared" si="35"/>
        <v/>
      </c>
      <c r="BF167" s="609" t="str">
        <f t="shared" si="35"/>
        <v/>
      </c>
      <c r="BG167" s="609" t="str">
        <f t="shared" si="35"/>
        <v/>
      </c>
    </row>
    <row r="168" spans="2:59" x14ac:dyDescent="0.25">
      <c r="B168" s="654">
        <v>162</v>
      </c>
      <c r="C168" s="654"/>
      <c r="D168" s="654"/>
      <c r="E168" s="655"/>
      <c r="F168" s="654"/>
      <c r="H168" s="609" t="str">
        <f t="shared" si="28"/>
        <v/>
      </c>
      <c r="I168" s="609" t="str">
        <f t="shared" si="35"/>
        <v/>
      </c>
      <c r="J168" s="609" t="str">
        <f t="shared" si="35"/>
        <v/>
      </c>
      <c r="K168" s="609" t="str">
        <f t="shared" si="35"/>
        <v/>
      </c>
      <c r="L168" s="609" t="str">
        <f t="shared" si="35"/>
        <v/>
      </c>
      <c r="M168" s="609" t="str">
        <f t="shared" si="35"/>
        <v/>
      </c>
      <c r="N168" s="609" t="str">
        <f t="shared" si="35"/>
        <v/>
      </c>
      <c r="O168" s="609" t="str">
        <f t="shared" si="35"/>
        <v/>
      </c>
      <c r="P168" s="609" t="str">
        <f t="shared" si="35"/>
        <v/>
      </c>
      <c r="Q168" s="609" t="str">
        <f t="shared" si="35"/>
        <v/>
      </c>
      <c r="R168" s="609" t="str">
        <f t="shared" si="35"/>
        <v/>
      </c>
      <c r="S168" s="609" t="str">
        <f t="shared" si="35"/>
        <v/>
      </c>
      <c r="T168" s="609" t="str">
        <f t="shared" si="35"/>
        <v/>
      </c>
      <c r="U168" s="609" t="str">
        <f t="shared" si="35"/>
        <v/>
      </c>
      <c r="V168" s="609" t="str">
        <f t="shared" si="35"/>
        <v/>
      </c>
      <c r="W168" s="609" t="str">
        <f t="shared" si="35"/>
        <v/>
      </c>
      <c r="X168" s="609" t="str">
        <f t="shared" si="35"/>
        <v/>
      </c>
      <c r="Y168" s="609" t="str">
        <f t="shared" si="35"/>
        <v/>
      </c>
      <c r="Z168" s="609" t="str">
        <f t="shared" si="35"/>
        <v/>
      </c>
      <c r="AA168" s="609" t="str">
        <f t="shared" si="35"/>
        <v/>
      </c>
      <c r="AB168" s="609" t="str">
        <f t="shared" si="35"/>
        <v/>
      </c>
      <c r="AC168" s="609" t="str">
        <f t="shared" si="35"/>
        <v/>
      </c>
      <c r="AD168" s="609" t="str">
        <f t="shared" si="35"/>
        <v/>
      </c>
      <c r="AE168" s="609" t="str">
        <f t="shared" si="35"/>
        <v/>
      </c>
      <c r="AF168" s="609" t="str">
        <f t="shared" si="35"/>
        <v/>
      </c>
      <c r="AG168" s="609" t="str">
        <f t="shared" si="35"/>
        <v/>
      </c>
      <c r="AH168" s="609" t="str">
        <f t="shared" si="35"/>
        <v/>
      </c>
      <c r="AI168" s="609" t="str">
        <f t="shared" si="35"/>
        <v/>
      </c>
      <c r="AJ168" s="609" t="str">
        <f t="shared" si="35"/>
        <v/>
      </c>
      <c r="AK168" s="609" t="str">
        <f t="shared" si="35"/>
        <v/>
      </c>
      <c r="AL168" s="609" t="str">
        <f t="shared" si="35"/>
        <v/>
      </c>
      <c r="AM168" s="609" t="str">
        <f t="shared" si="35"/>
        <v/>
      </c>
      <c r="AN168" s="609" t="str">
        <f t="shared" si="35"/>
        <v/>
      </c>
      <c r="AO168" s="609" t="str">
        <f t="shared" si="35"/>
        <v/>
      </c>
      <c r="AP168" s="609" t="str">
        <f t="shared" si="35"/>
        <v/>
      </c>
      <c r="AQ168" s="609" t="str">
        <f t="shared" si="35"/>
        <v/>
      </c>
      <c r="AR168" s="609" t="str">
        <f t="shared" si="35"/>
        <v/>
      </c>
      <c r="AS168" s="609" t="str">
        <f t="shared" si="35"/>
        <v/>
      </c>
      <c r="AT168" s="609" t="str">
        <f t="shared" si="35"/>
        <v/>
      </c>
      <c r="AU168" s="609" t="str">
        <f t="shared" si="35"/>
        <v/>
      </c>
      <c r="AV168" s="609" t="str">
        <f t="shared" si="35"/>
        <v/>
      </c>
      <c r="AW168" s="609" t="str">
        <f t="shared" si="35"/>
        <v/>
      </c>
      <c r="AX168" s="609" t="str">
        <f t="shared" si="35"/>
        <v/>
      </c>
      <c r="AY168" s="609" t="str">
        <f t="shared" si="35"/>
        <v/>
      </c>
      <c r="AZ168" s="609" t="str">
        <f t="shared" si="35"/>
        <v/>
      </c>
      <c r="BA168" s="609" t="str">
        <f t="shared" si="35"/>
        <v/>
      </c>
      <c r="BB168" s="609" t="str">
        <f t="shared" si="35"/>
        <v/>
      </c>
      <c r="BC168" s="609" t="str">
        <f t="shared" si="35"/>
        <v/>
      </c>
      <c r="BD168" s="609" t="str">
        <f t="shared" si="35"/>
        <v/>
      </c>
      <c r="BE168" s="609" t="str">
        <f t="shared" si="35"/>
        <v/>
      </c>
      <c r="BF168" s="609" t="str">
        <f t="shared" si="35"/>
        <v/>
      </c>
      <c r="BG168" s="609" t="str">
        <f t="shared" si="35"/>
        <v/>
      </c>
    </row>
    <row r="169" spans="2:59" x14ac:dyDescent="0.25">
      <c r="B169" s="654">
        <v>163</v>
      </c>
      <c r="C169" s="654"/>
      <c r="D169" s="654"/>
      <c r="E169" s="655"/>
      <c r="F169" s="654"/>
      <c r="H169" s="609" t="str">
        <f t="shared" si="28"/>
        <v/>
      </c>
      <c r="I169" s="609" t="str">
        <f t="shared" si="35"/>
        <v/>
      </c>
      <c r="J169" s="609" t="str">
        <f t="shared" si="35"/>
        <v/>
      </c>
      <c r="K169" s="609" t="str">
        <f t="shared" si="35"/>
        <v/>
      </c>
      <c r="L169" s="609" t="str">
        <f t="shared" si="35"/>
        <v/>
      </c>
      <c r="M169" s="609" t="str">
        <f t="shared" si="35"/>
        <v/>
      </c>
      <c r="N169" s="609" t="str">
        <f t="shared" si="35"/>
        <v/>
      </c>
      <c r="O169" s="609" t="str">
        <f t="shared" si="35"/>
        <v/>
      </c>
      <c r="P169" s="609" t="str">
        <f t="shared" si="35"/>
        <v/>
      </c>
      <c r="Q169" s="609" t="str">
        <f t="shared" si="35"/>
        <v/>
      </c>
      <c r="R169" s="609" t="str">
        <f t="shared" si="35"/>
        <v/>
      </c>
      <c r="S169" s="609" t="str">
        <f t="shared" si="35"/>
        <v/>
      </c>
      <c r="T169" s="609" t="str">
        <f t="shared" si="35"/>
        <v/>
      </c>
      <c r="U169" s="609" t="str">
        <f t="shared" si="35"/>
        <v/>
      </c>
      <c r="V169" s="609" t="str">
        <f t="shared" si="35"/>
        <v/>
      </c>
      <c r="W169" s="609" t="str">
        <f t="shared" si="35"/>
        <v/>
      </c>
      <c r="X169" s="609" t="str">
        <f t="shared" si="35"/>
        <v/>
      </c>
      <c r="Y169" s="609" t="str">
        <f t="shared" si="35"/>
        <v/>
      </c>
      <c r="Z169" s="609" t="str">
        <f t="shared" si="35"/>
        <v/>
      </c>
      <c r="AA169" s="609" t="str">
        <f t="shared" si="35"/>
        <v/>
      </c>
      <c r="AB169" s="609" t="str">
        <f t="shared" si="35"/>
        <v/>
      </c>
      <c r="AC169" s="609" t="str">
        <f t="shared" si="35"/>
        <v/>
      </c>
      <c r="AD169" s="609" t="str">
        <f t="shared" si="35"/>
        <v/>
      </c>
      <c r="AE169" s="609" t="str">
        <f t="shared" si="35"/>
        <v/>
      </c>
      <c r="AF169" s="609" t="str">
        <f t="shared" si="35"/>
        <v/>
      </c>
      <c r="AG169" s="609" t="str">
        <f t="shared" si="35"/>
        <v/>
      </c>
      <c r="AH169" s="609" t="str">
        <f t="shared" si="35"/>
        <v/>
      </c>
      <c r="AI169" s="609" t="str">
        <f t="shared" si="35"/>
        <v/>
      </c>
      <c r="AJ169" s="609" t="str">
        <f t="shared" si="35"/>
        <v/>
      </c>
      <c r="AK169" s="609" t="str">
        <f t="shared" si="35"/>
        <v/>
      </c>
      <c r="AL169" s="609" t="str">
        <f t="shared" si="35"/>
        <v/>
      </c>
      <c r="AM169" s="609" t="str">
        <f t="shared" si="35"/>
        <v/>
      </c>
      <c r="AN169" s="609" t="str">
        <f t="shared" si="35"/>
        <v/>
      </c>
      <c r="AO169" s="609" t="str">
        <f t="shared" si="35"/>
        <v/>
      </c>
      <c r="AP169" s="609" t="str">
        <f t="shared" si="35"/>
        <v/>
      </c>
      <c r="AQ169" s="609" t="str">
        <f t="shared" si="35"/>
        <v/>
      </c>
      <c r="AR169" s="609" t="str">
        <f t="shared" si="35"/>
        <v/>
      </c>
      <c r="AS169" s="609" t="str">
        <f t="shared" si="35"/>
        <v/>
      </c>
      <c r="AT169" s="609" t="str">
        <f t="shared" si="35"/>
        <v/>
      </c>
      <c r="AU169" s="609" t="str">
        <f t="shared" si="35"/>
        <v/>
      </c>
      <c r="AV169" s="609" t="str">
        <f t="shared" si="35"/>
        <v/>
      </c>
      <c r="AW169" s="609" t="str">
        <f t="shared" si="35"/>
        <v/>
      </c>
      <c r="AX169" s="609" t="str">
        <f t="shared" si="35"/>
        <v/>
      </c>
      <c r="AY169" s="609" t="str">
        <f t="shared" si="35"/>
        <v/>
      </c>
      <c r="AZ169" s="609" t="str">
        <f t="shared" si="35"/>
        <v/>
      </c>
      <c r="BA169" s="609" t="str">
        <f t="shared" si="35"/>
        <v/>
      </c>
      <c r="BB169" s="609" t="str">
        <f t="shared" si="35"/>
        <v/>
      </c>
      <c r="BC169" s="609" t="str">
        <f t="shared" si="35"/>
        <v/>
      </c>
      <c r="BD169" s="609" t="str">
        <f t="shared" si="35"/>
        <v/>
      </c>
      <c r="BE169" s="609" t="str">
        <f t="shared" si="35"/>
        <v/>
      </c>
      <c r="BF169" s="609" t="str">
        <f t="shared" si="35"/>
        <v/>
      </c>
      <c r="BG169" s="609" t="str">
        <f t="shared" si="35"/>
        <v/>
      </c>
    </row>
    <row r="170" spans="2:59" x14ac:dyDescent="0.25">
      <c r="B170" s="654">
        <v>164</v>
      </c>
      <c r="C170" s="654"/>
      <c r="D170" s="654"/>
      <c r="E170" s="655"/>
      <c r="F170" s="654"/>
      <c r="H170" s="609" t="str">
        <f t="shared" si="28"/>
        <v/>
      </c>
      <c r="I170" s="609" t="str">
        <f t="shared" si="35"/>
        <v/>
      </c>
      <c r="J170" s="609" t="str">
        <f t="shared" si="35"/>
        <v/>
      </c>
      <c r="K170" s="609" t="str">
        <f t="shared" si="35"/>
        <v/>
      </c>
      <c r="L170" s="609" t="str">
        <f t="shared" si="35"/>
        <v/>
      </c>
      <c r="M170" s="609" t="str">
        <f t="shared" si="35"/>
        <v/>
      </c>
      <c r="N170" s="609" t="str">
        <f t="shared" si="35"/>
        <v/>
      </c>
      <c r="O170" s="609" t="str">
        <f t="shared" si="35"/>
        <v/>
      </c>
      <c r="P170" s="609" t="str">
        <f t="shared" si="35"/>
        <v/>
      </c>
      <c r="Q170" s="609" t="str">
        <f t="shared" si="35"/>
        <v/>
      </c>
      <c r="R170" s="609" t="str">
        <f t="shared" si="35"/>
        <v/>
      </c>
      <c r="S170" s="609" t="str">
        <f t="shared" si="35"/>
        <v/>
      </c>
      <c r="T170" s="609" t="str">
        <f t="shared" si="35"/>
        <v/>
      </c>
      <c r="U170" s="609" t="str">
        <f t="shared" si="35"/>
        <v/>
      </c>
      <c r="V170" s="609" t="str">
        <f t="shared" si="35"/>
        <v/>
      </c>
      <c r="W170" s="609" t="str">
        <f t="shared" si="35"/>
        <v/>
      </c>
      <c r="X170" s="609" t="str">
        <f t="shared" si="35"/>
        <v/>
      </c>
      <c r="Y170" s="609" t="str">
        <f t="shared" si="35"/>
        <v/>
      </c>
      <c r="Z170" s="609" t="str">
        <f t="shared" si="35"/>
        <v/>
      </c>
      <c r="AA170" s="609" t="str">
        <f t="shared" si="35"/>
        <v/>
      </c>
      <c r="AB170" s="609" t="str">
        <f t="shared" si="35"/>
        <v/>
      </c>
      <c r="AC170" s="609" t="str">
        <f t="shared" si="35"/>
        <v/>
      </c>
      <c r="AD170" s="609" t="str">
        <f t="shared" si="35"/>
        <v/>
      </c>
      <c r="AE170" s="609" t="str">
        <f t="shared" si="35"/>
        <v/>
      </c>
      <c r="AF170" s="609" t="str">
        <f t="shared" si="35"/>
        <v/>
      </c>
      <c r="AG170" s="609" t="str">
        <f t="shared" si="35"/>
        <v/>
      </c>
      <c r="AH170" s="609" t="str">
        <f t="shared" si="35"/>
        <v/>
      </c>
      <c r="AI170" s="609" t="str">
        <f t="shared" si="35"/>
        <v/>
      </c>
      <c r="AJ170" s="609" t="str">
        <f t="shared" si="35"/>
        <v/>
      </c>
      <c r="AK170" s="609" t="str">
        <f t="shared" si="35"/>
        <v/>
      </c>
      <c r="AL170" s="609" t="str">
        <f t="shared" si="35"/>
        <v/>
      </c>
      <c r="AM170" s="609" t="str">
        <f t="shared" si="35"/>
        <v/>
      </c>
      <c r="AN170" s="609" t="str">
        <f t="shared" si="35"/>
        <v/>
      </c>
      <c r="AO170" s="609" t="str">
        <f t="shared" si="35"/>
        <v/>
      </c>
      <c r="AP170" s="609" t="str">
        <f t="shared" si="35"/>
        <v/>
      </c>
      <c r="AQ170" s="609" t="str">
        <f t="shared" si="35"/>
        <v/>
      </c>
      <c r="AR170" s="609" t="str">
        <f t="shared" si="35"/>
        <v/>
      </c>
      <c r="AS170" s="609" t="str">
        <f t="shared" si="35"/>
        <v/>
      </c>
      <c r="AT170" s="609" t="str">
        <f t="shared" si="35"/>
        <v/>
      </c>
      <c r="AU170" s="609" t="str">
        <f t="shared" si="35"/>
        <v/>
      </c>
      <c r="AV170" s="609" t="str">
        <f t="shared" si="35"/>
        <v/>
      </c>
      <c r="AW170" s="609" t="str">
        <f t="shared" si="35"/>
        <v/>
      </c>
      <c r="AX170" s="609" t="str">
        <f t="shared" si="35"/>
        <v/>
      </c>
      <c r="AY170" s="609" t="str">
        <f t="shared" si="35"/>
        <v/>
      </c>
      <c r="AZ170" s="609" t="str">
        <f t="shared" si="35"/>
        <v/>
      </c>
      <c r="BA170" s="609" t="str">
        <f t="shared" si="35"/>
        <v/>
      </c>
      <c r="BB170" s="609" t="str">
        <f t="shared" si="35"/>
        <v/>
      </c>
      <c r="BC170" s="609" t="str">
        <f t="shared" si="35"/>
        <v/>
      </c>
      <c r="BD170" s="609" t="str">
        <f t="shared" si="35"/>
        <v/>
      </c>
      <c r="BE170" s="609" t="str">
        <f t="shared" si="35"/>
        <v/>
      </c>
      <c r="BF170" s="609" t="str">
        <f t="shared" si="35"/>
        <v/>
      </c>
      <c r="BG170" s="609" t="str">
        <f t="shared" si="35"/>
        <v/>
      </c>
    </row>
    <row r="171" spans="2:59" x14ac:dyDescent="0.25">
      <c r="B171" s="654">
        <v>165</v>
      </c>
      <c r="C171" s="654"/>
      <c r="D171" s="654"/>
      <c r="E171" s="655"/>
      <c r="F171" s="654"/>
      <c r="H171" s="609" t="str">
        <f t="shared" si="28"/>
        <v/>
      </c>
      <c r="I171" s="609" t="str">
        <f t="shared" si="35"/>
        <v/>
      </c>
      <c r="J171" s="609" t="str">
        <f t="shared" si="35"/>
        <v/>
      </c>
      <c r="K171" s="609" t="str">
        <f t="shared" si="35"/>
        <v/>
      </c>
      <c r="L171" s="609" t="str">
        <f t="shared" si="35"/>
        <v/>
      </c>
      <c r="M171" s="609" t="str">
        <f t="shared" si="35"/>
        <v/>
      </c>
      <c r="N171" s="609" t="str">
        <f t="shared" si="35"/>
        <v/>
      </c>
      <c r="O171" s="609" t="str">
        <f t="shared" si="35"/>
        <v/>
      </c>
      <c r="P171" s="609" t="str">
        <f t="shared" si="35"/>
        <v/>
      </c>
      <c r="Q171" s="609" t="str">
        <f t="shared" si="35"/>
        <v/>
      </c>
      <c r="R171" s="609" t="str">
        <f t="shared" si="35"/>
        <v/>
      </c>
      <c r="S171" s="609" t="str">
        <f t="shared" si="35"/>
        <v/>
      </c>
      <c r="T171" s="609" t="str">
        <f t="shared" si="35"/>
        <v/>
      </c>
      <c r="U171" s="609" t="str">
        <f t="shared" si="35"/>
        <v/>
      </c>
      <c r="V171" s="609" t="str">
        <f t="shared" si="35"/>
        <v/>
      </c>
      <c r="W171" s="609" t="str">
        <f t="shared" si="35"/>
        <v/>
      </c>
      <c r="X171" s="609" t="str">
        <f t="shared" si="35"/>
        <v/>
      </c>
      <c r="Y171" s="609" t="str">
        <f t="shared" si="35"/>
        <v/>
      </c>
      <c r="Z171" s="609" t="str">
        <f t="shared" si="35"/>
        <v/>
      </c>
      <c r="AA171" s="609" t="str">
        <f t="shared" si="35"/>
        <v/>
      </c>
      <c r="AB171" s="609" t="str">
        <f t="shared" si="35"/>
        <v/>
      </c>
      <c r="AC171" s="609" t="str">
        <f t="shared" si="35"/>
        <v/>
      </c>
      <c r="AD171" s="609" t="str">
        <f t="shared" si="35"/>
        <v/>
      </c>
      <c r="AE171" s="609" t="str">
        <f t="shared" si="35"/>
        <v/>
      </c>
      <c r="AF171" s="609" t="str">
        <f t="shared" si="35"/>
        <v/>
      </c>
      <c r="AG171" s="609" t="str">
        <f t="shared" si="35"/>
        <v/>
      </c>
      <c r="AH171" s="609" t="str">
        <f t="shared" si="35"/>
        <v/>
      </c>
      <c r="AI171" s="609" t="str">
        <f t="shared" si="35"/>
        <v/>
      </c>
      <c r="AJ171" s="609" t="str">
        <f t="shared" si="35"/>
        <v/>
      </c>
      <c r="AK171" s="609" t="str">
        <f t="shared" si="35"/>
        <v/>
      </c>
      <c r="AL171" s="609" t="str">
        <f t="shared" si="35"/>
        <v/>
      </c>
      <c r="AM171" s="609" t="str">
        <f t="shared" si="35"/>
        <v/>
      </c>
      <c r="AN171" s="609" t="str">
        <f t="shared" si="35"/>
        <v/>
      </c>
      <c r="AO171" s="609" t="str">
        <f t="shared" si="35"/>
        <v/>
      </c>
      <c r="AP171" s="609" t="str">
        <f t="shared" si="35"/>
        <v/>
      </c>
      <c r="AQ171" s="609" t="str">
        <f t="shared" si="35"/>
        <v/>
      </c>
      <c r="AR171" s="609" t="str">
        <f t="shared" si="35"/>
        <v/>
      </c>
      <c r="AS171" s="609" t="str">
        <f t="shared" si="35"/>
        <v/>
      </c>
      <c r="AT171" s="609" t="str">
        <f t="shared" si="35"/>
        <v/>
      </c>
      <c r="AU171" s="609" t="str">
        <f t="shared" si="35"/>
        <v/>
      </c>
      <c r="AV171" s="609" t="str">
        <f t="shared" si="35"/>
        <v/>
      </c>
      <c r="AW171" s="609" t="str">
        <f t="shared" si="35"/>
        <v/>
      </c>
      <c r="AX171" s="609" t="str">
        <f t="shared" si="35"/>
        <v/>
      </c>
      <c r="AY171" s="609" t="str">
        <f t="shared" si="35"/>
        <v/>
      </c>
      <c r="AZ171" s="609" t="str">
        <f t="shared" si="35"/>
        <v/>
      </c>
      <c r="BA171" s="609" t="str">
        <f t="shared" si="35"/>
        <v/>
      </c>
      <c r="BB171" s="609" t="str">
        <f t="shared" si="35"/>
        <v/>
      </c>
      <c r="BC171" s="609" t="str">
        <f t="shared" si="35"/>
        <v/>
      </c>
      <c r="BD171" s="609" t="str">
        <f t="shared" si="35"/>
        <v/>
      </c>
      <c r="BE171" s="609" t="str">
        <f t="shared" si="35"/>
        <v/>
      </c>
      <c r="BF171" s="609" t="str">
        <f t="shared" si="35"/>
        <v/>
      </c>
      <c r="BG171" s="609" t="str">
        <f t="shared" si="35"/>
        <v/>
      </c>
    </row>
    <row r="172" spans="2:59" x14ac:dyDescent="0.25">
      <c r="B172" s="654">
        <v>166</v>
      </c>
      <c r="C172" s="654"/>
      <c r="D172" s="654"/>
      <c r="E172" s="655"/>
      <c r="F172" s="654"/>
      <c r="H172" s="609" t="str">
        <f t="shared" si="28"/>
        <v/>
      </c>
      <c r="I172" s="609" t="str">
        <f t="shared" si="35"/>
        <v/>
      </c>
      <c r="J172" s="609" t="str">
        <f t="shared" si="35"/>
        <v/>
      </c>
      <c r="K172" s="609" t="str">
        <f t="shared" si="35"/>
        <v/>
      </c>
      <c r="L172" s="609" t="str">
        <f t="shared" si="35"/>
        <v/>
      </c>
      <c r="M172" s="609" t="str">
        <f t="shared" si="35"/>
        <v/>
      </c>
      <c r="N172" s="609" t="str">
        <f t="shared" si="35"/>
        <v/>
      </c>
      <c r="O172" s="609" t="str">
        <f t="shared" si="35"/>
        <v/>
      </c>
      <c r="P172" s="609" t="str">
        <f t="shared" si="35"/>
        <v/>
      </c>
      <c r="Q172" s="609" t="str">
        <f t="shared" si="35"/>
        <v/>
      </c>
      <c r="R172" s="609" t="str">
        <f t="shared" si="35"/>
        <v/>
      </c>
      <c r="S172" s="609" t="str">
        <f t="shared" si="35"/>
        <v/>
      </c>
      <c r="T172" s="609" t="str">
        <f t="shared" si="35"/>
        <v/>
      </c>
      <c r="U172" s="609" t="str">
        <f t="shared" si="35"/>
        <v/>
      </c>
      <c r="V172" s="609" t="str">
        <f t="shared" si="35"/>
        <v/>
      </c>
      <c r="W172" s="609" t="str">
        <f t="shared" si="35"/>
        <v/>
      </c>
      <c r="X172" s="609" t="str">
        <f t="shared" si="35"/>
        <v/>
      </c>
      <c r="Y172" s="609" t="str">
        <f t="shared" si="35"/>
        <v/>
      </c>
      <c r="Z172" s="609" t="str">
        <f t="shared" si="35"/>
        <v/>
      </c>
      <c r="AA172" s="609" t="str">
        <f t="shared" si="35"/>
        <v/>
      </c>
      <c r="AB172" s="609" t="str">
        <f t="shared" si="35"/>
        <v/>
      </c>
      <c r="AC172" s="609" t="str">
        <f t="shared" si="35"/>
        <v/>
      </c>
      <c r="AD172" s="609" t="str">
        <f t="shared" si="35"/>
        <v/>
      </c>
      <c r="AE172" s="609" t="str">
        <f t="shared" si="35"/>
        <v/>
      </c>
      <c r="AF172" s="609" t="str">
        <f t="shared" si="35"/>
        <v/>
      </c>
      <c r="AG172" s="609" t="str">
        <f t="shared" si="35"/>
        <v/>
      </c>
      <c r="AH172" s="609" t="str">
        <f t="shared" si="35"/>
        <v/>
      </c>
      <c r="AI172" s="609" t="str">
        <f t="shared" si="35"/>
        <v/>
      </c>
      <c r="AJ172" s="609" t="str">
        <f t="shared" si="35"/>
        <v/>
      </c>
      <c r="AK172" s="609" t="str">
        <f t="shared" si="35"/>
        <v/>
      </c>
      <c r="AL172" s="609" t="str">
        <f t="shared" si="35"/>
        <v/>
      </c>
      <c r="AM172" s="609" t="str">
        <f t="shared" si="35"/>
        <v/>
      </c>
      <c r="AN172" s="609" t="str">
        <f t="shared" si="35"/>
        <v/>
      </c>
      <c r="AO172" s="609" t="str">
        <f t="shared" si="35"/>
        <v/>
      </c>
      <c r="AP172" s="609" t="str">
        <f t="shared" si="35"/>
        <v/>
      </c>
      <c r="AQ172" s="609" t="str">
        <f t="shared" si="35"/>
        <v/>
      </c>
      <c r="AR172" s="609" t="str">
        <f t="shared" si="35"/>
        <v/>
      </c>
      <c r="AS172" s="609" t="str">
        <f t="shared" si="35"/>
        <v/>
      </c>
      <c r="AT172" s="609" t="str">
        <f t="shared" si="35"/>
        <v/>
      </c>
      <c r="AU172" s="609" t="str">
        <f t="shared" si="35"/>
        <v/>
      </c>
      <c r="AV172" s="609" t="str">
        <f t="shared" si="35"/>
        <v/>
      </c>
      <c r="AW172" s="609" t="str">
        <f t="shared" si="35"/>
        <v/>
      </c>
      <c r="AX172" s="609" t="str">
        <f t="shared" si="35"/>
        <v/>
      </c>
      <c r="AY172" s="609" t="str">
        <f t="shared" si="35"/>
        <v/>
      </c>
      <c r="AZ172" s="609" t="str">
        <f t="shared" si="35"/>
        <v/>
      </c>
      <c r="BA172" s="609" t="str">
        <f t="shared" si="35"/>
        <v/>
      </c>
      <c r="BB172" s="609" t="str">
        <f t="shared" ref="I172:BG177" si="36">IF($D172=BB$6,$B172&amp;", ","")</f>
        <v/>
      </c>
      <c r="BC172" s="609" t="str">
        <f t="shared" si="36"/>
        <v/>
      </c>
      <c r="BD172" s="609" t="str">
        <f t="shared" si="36"/>
        <v/>
      </c>
      <c r="BE172" s="609" t="str">
        <f t="shared" si="36"/>
        <v/>
      </c>
      <c r="BF172" s="609" t="str">
        <f t="shared" si="36"/>
        <v/>
      </c>
      <c r="BG172" s="609" t="str">
        <f t="shared" si="36"/>
        <v/>
      </c>
    </row>
    <row r="173" spans="2:59" x14ac:dyDescent="0.25">
      <c r="B173" s="654">
        <v>167</v>
      </c>
      <c r="C173" s="654"/>
      <c r="D173" s="654"/>
      <c r="E173" s="655"/>
      <c r="F173" s="654"/>
      <c r="H173" s="609" t="str">
        <f t="shared" si="28"/>
        <v/>
      </c>
      <c r="I173" s="609" t="str">
        <f t="shared" si="36"/>
        <v/>
      </c>
      <c r="J173" s="609" t="str">
        <f t="shared" si="36"/>
        <v/>
      </c>
      <c r="K173" s="609" t="str">
        <f t="shared" si="36"/>
        <v/>
      </c>
      <c r="L173" s="609" t="str">
        <f t="shared" si="36"/>
        <v/>
      </c>
      <c r="M173" s="609" t="str">
        <f t="shared" si="36"/>
        <v/>
      </c>
      <c r="N173" s="609" t="str">
        <f t="shared" si="36"/>
        <v/>
      </c>
      <c r="O173" s="609" t="str">
        <f t="shared" si="36"/>
        <v/>
      </c>
      <c r="P173" s="609" t="str">
        <f t="shared" si="36"/>
        <v/>
      </c>
      <c r="Q173" s="609" t="str">
        <f t="shared" si="36"/>
        <v/>
      </c>
      <c r="R173" s="609" t="str">
        <f t="shared" si="36"/>
        <v/>
      </c>
      <c r="S173" s="609" t="str">
        <f t="shared" si="36"/>
        <v/>
      </c>
      <c r="T173" s="609" t="str">
        <f t="shared" si="36"/>
        <v/>
      </c>
      <c r="U173" s="609" t="str">
        <f t="shared" si="36"/>
        <v/>
      </c>
      <c r="V173" s="609" t="str">
        <f t="shared" si="36"/>
        <v/>
      </c>
      <c r="W173" s="609" t="str">
        <f t="shared" si="36"/>
        <v/>
      </c>
      <c r="X173" s="609" t="str">
        <f t="shared" si="36"/>
        <v/>
      </c>
      <c r="Y173" s="609" t="str">
        <f t="shared" si="36"/>
        <v/>
      </c>
      <c r="Z173" s="609" t="str">
        <f t="shared" si="36"/>
        <v/>
      </c>
      <c r="AA173" s="609" t="str">
        <f t="shared" si="36"/>
        <v/>
      </c>
      <c r="AB173" s="609" t="str">
        <f t="shared" si="36"/>
        <v/>
      </c>
      <c r="AC173" s="609" t="str">
        <f t="shared" si="36"/>
        <v/>
      </c>
      <c r="AD173" s="609" t="str">
        <f t="shared" si="36"/>
        <v/>
      </c>
      <c r="AE173" s="609" t="str">
        <f t="shared" si="36"/>
        <v/>
      </c>
      <c r="AF173" s="609" t="str">
        <f t="shared" si="36"/>
        <v/>
      </c>
      <c r="AG173" s="609" t="str">
        <f t="shared" si="36"/>
        <v/>
      </c>
      <c r="AH173" s="609" t="str">
        <f t="shared" si="36"/>
        <v/>
      </c>
      <c r="AI173" s="609" t="str">
        <f t="shared" si="36"/>
        <v/>
      </c>
      <c r="AJ173" s="609" t="str">
        <f t="shared" si="36"/>
        <v/>
      </c>
      <c r="AK173" s="609" t="str">
        <f t="shared" si="36"/>
        <v/>
      </c>
      <c r="AL173" s="609" t="str">
        <f t="shared" si="36"/>
        <v/>
      </c>
      <c r="AM173" s="609" t="str">
        <f t="shared" si="36"/>
        <v/>
      </c>
      <c r="AN173" s="609" t="str">
        <f t="shared" si="36"/>
        <v/>
      </c>
      <c r="AO173" s="609" t="str">
        <f t="shared" si="36"/>
        <v/>
      </c>
      <c r="AP173" s="609" t="str">
        <f t="shared" si="36"/>
        <v/>
      </c>
      <c r="AQ173" s="609" t="str">
        <f t="shared" si="36"/>
        <v/>
      </c>
      <c r="AR173" s="609" t="str">
        <f t="shared" si="36"/>
        <v/>
      </c>
      <c r="AS173" s="609" t="str">
        <f t="shared" si="36"/>
        <v/>
      </c>
      <c r="AT173" s="609" t="str">
        <f t="shared" si="36"/>
        <v/>
      </c>
      <c r="AU173" s="609" t="str">
        <f t="shared" si="36"/>
        <v/>
      </c>
      <c r="AV173" s="609" t="str">
        <f t="shared" si="36"/>
        <v/>
      </c>
      <c r="AW173" s="609" t="str">
        <f t="shared" si="36"/>
        <v/>
      </c>
      <c r="AX173" s="609" t="str">
        <f t="shared" si="36"/>
        <v/>
      </c>
      <c r="AY173" s="609" t="str">
        <f t="shared" si="36"/>
        <v/>
      </c>
      <c r="AZ173" s="609" t="str">
        <f t="shared" si="36"/>
        <v/>
      </c>
      <c r="BA173" s="609" t="str">
        <f t="shared" si="36"/>
        <v/>
      </c>
      <c r="BB173" s="609" t="str">
        <f t="shared" si="36"/>
        <v/>
      </c>
      <c r="BC173" s="609" t="str">
        <f t="shared" si="36"/>
        <v/>
      </c>
      <c r="BD173" s="609" t="str">
        <f t="shared" si="36"/>
        <v/>
      </c>
      <c r="BE173" s="609" t="str">
        <f t="shared" si="36"/>
        <v/>
      </c>
      <c r="BF173" s="609" t="str">
        <f t="shared" si="36"/>
        <v/>
      </c>
      <c r="BG173" s="609" t="str">
        <f t="shared" si="36"/>
        <v/>
      </c>
    </row>
    <row r="174" spans="2:59" x14ac:dyDescent="0.25">
      <c r="B174" s="654">
        <v>168</v>
      </c>
      <c r="C174" s="654"/>
      <c r="D174" s="654"/>
      <c r="E174" s="655"/>
      <c r="F174" s="654"/>
      <c r="H174" s="609" t="str">
        <f t="shared" si="28"/>
        <v/>
      </c>
      <c r="I174" s="609" t="str">
        <f t="shared" si="36"/>
        <v/>
      </c>
      <c r="J174" s="609" t="str">
        <f t="shared" si="36"/>
        <v/>
      </c>
      <c r="K174" s="609" t="str">
        <f t="shared" si="36"/>
        <v/>
      </c>
      <c r="L174" s="609" t="str">
        <f t="shared" si="36"/>
        <v/>
      </c>
      <c r="M174" s="609" t="str">
        <f t="shared" si="36"/>
        <v/>
      </c>
      <c r="N174" s="609" t="str">
        <f t="shared" si="36"/>
        <v/>
      </c>
      <c r="O174" s="609" t="str">
        <f t="shared" si="36"/>
        <v/>
      </c>
      <c r="P174" s="609" t="str">
        <f t="shared" si="36"/>
        <v/>
      </c>
      <c r="Q174" s="609" t="str">
        <f t="shared" si="36"/>
        <v/>
      </c>
      <c r="R174" s="609" t="str">
        <f t="shared" si="36"/>
        <v/>
      </c>
      <c r="S174" s="609" t="str">
        <f t="shared" si="36"/>
        <v/>
      </c>
      <c r="T174" s="609" t="str">
        <f t="shared" si="36"/>
        <v/>
      </c>
      <c r="U174" s="609" t="str">
        <f t="shared" si="36"/>
        <v/>
      </c>
      <c r="V174" s="609" t="str">
        <f t="shared" si="36"/>
        <v/>
      </c>
      <c r="W174" s="609" t="str">
        <f t="shared" si="36"/>
        <v/>
      </c>
      <c r="X174" s="609" t="str">
        <f t="shared" si="36"/>
        <v/>
      </c>
      <c r="Y174" s="609" t="str">
        <f t="shared" si="36"/>
        <v/>
      </c>
      <c r="Z174" s="609" t="str">
        <f t="shared" si="36"/>
        <v/>
      </c>
      <c r="AA174" s="609" t="str">
        <f t="shared" si="36"/>
        <v/>
      </c>
      <c r="AB174" s="609" t="str">
        <f t="shared" si="36"/>
        <v/>
      </c>
      <c r="AC174" s="609" t="str">
        <f t="shared" si="36"/>
        <v/>
      </c>
      <c r="AD174" s="609" t="str">
        <f t="shared" si="36"/>
        <v/>
      </c>
      <c r="AE174" s="609" t="str">
        <f t="shared" si="36"/>
        <v/>
      </c>
      <c r="AF174" s="609" t="str">
        <f t="shared" si="36"/>
        <v/>
      </c>
      <c r="AG174" s="609" t="str">
        <f t="shared" si="36"/>
        <v/>
      </c>
      <c r="AH174" s="609" t="str">
        <f t="shared" si="36"/>
        <v/>
      </c>
      <c r="AI174" s="609" t="str">
        <f t="shared" si="36"/>
        <v/>
      </c>
      <c r="AJ174" s="609" t="str">
        <f t="shared" si="36"/>
        <v/>
      </c>
      <c r="AK174" s="609" t="str">
        <f t="shared" si="36"/>
        <v/>
      </c>
      <c r="AL174" s="609" t="str">
        <f t="shared" si="36"/>
        <v/>
      </c>
      <c r="AM174" s="609" t="str">
        <f t="shared" si="36"/>
        <v/>
      </c>
      <c r="AN174" s="609" t="str">
        <f t="shared" si="36"/>
        <v/>
      </c>
      <c r="AO174" s="609" t="str">
        <f t="shared" si="36"/>
        <v/>
      </c>
      <c r="AP174" s="609" t="str">
        <f t="shared" si="36"/>
        <v/>
      </c>
      <c r="AQ174" s="609" t="str">
        <f t="shared" si="36"/>
        <v/>
      </c>
      <c r="AR174" s="609" t="str">
        <f t="shared" si="36"/>
        <v/>
      </c>
      <c r="AS174" s="609" t="str">
        <f t="shared" si="36"/>
        <v/>
      </c>
      <c r="AT174" s="609" t="str">
        <f t="shared" si="36"/>
        <v/>
      </c>
      <c r="AU174" s="609" t="str">
        <f t="shared" si="36"/>
        <v/>
      </c>
      <c r="AV174" s="609" t="str">
        <f t="shared" si="36"/>
        <v/>
      </c>
      <c r="AW174" s="609" t="str">
        <f t="shared" si="36"/>
        <v/>
      </c>
      <c r="AX174" s="609" t="str">
        <f t="shared" si="36"/>
        <v/>
      </c>
      <c r="AY174" s="609" t="str">
        <f t="shared" si="36"/>
        <v/>
      </c>
      <c r="AZ174" s="609" t="str">
        <f t="shared" si="36"/>
        <v/>
      </c>
      <c r="BA174" s="609" t="str">
        <f t="shared" si="36"/>
        <v/>
      </c>
      <c r="BB174" s="609" t="str">
        <f t="shared" si="36"/>
        <v/>
      </c>
      <c r="BC174" s="609" t="str">
        <f t="shared" si="36"/>
        <v/>
      </c>
      <c r="BD174" s="609" t="str">
        <f t="shared" si="36"/>
        <v/>
      </c>
      <c r="BE174" s="609" t="str">
        <f t="shared" si="36"/>
        <v/>
      </c>
      <c r="BF174" s="609" t="str">
        <f t="shared" si="36"/>
        <v/>
      </c>
      <c r="BG174" s="609" t="str">
        <f t="shared" si="36"/>
        <v/>
      </c>
    </row>
    <row r="175" spans="2:59" x14ac:dyDescent="0.25">
      <c r="B175" s="654">
        <v>169</v>
      </c>
      <c r="C175" s="654"/>
      <c r="D175" s="654"/>
      <c r="E175" s="655"/>
      <c r="F175" s="654"/>
      <c r="H175" s="609" t="str">
        <f t="shared" si="28"/>
        <v/>
      </c>
      <c r="I175" s="609" t="str">
        <f t="shared" si="36"/>
        <v/>
      </c>
      <c r="J175" s="609" t="str">
        <f t="shared" si="36"/>
        <v/>
      </c>
      <c r="K175" s="609" t="str">
        <f t="shared" si="36"/>
        <v/>
      </c>
      <c r="L175" s="609" t="str">
        <f t="shared" si="36"/>
        <v/>
      </c>
      <c r="M175" s="609" t="str">
        <f t="shared" si="36"/>
        <v/>
      </c>
      <c r="N175" s="609" t="str">
        <f t="shared" si="36"/>
        <v/>
      </c>
      <c r="O175" s="609" t="str">
        <f t="shared" si="36"/>
        <v/>
      </c>
      <c r="P175" s="609" t="str">
        <f t="shared" si="36"/>
        <v/>
      </c>
      <c r="Q175" s="609" t="str">
        <f t="shared" si="36"/>
        <v/>
      </c>
      <c r="R175" s="609" t="str">
        <f t="shared" si="36"/>
        <v/>
      </c>
      <c r="S175" s="609" t="str">
        <f t="shared" si="36"/>
        <v/>
      </c>
      <c r="T175" s="609" t="str">
        <f t="shared" si="36"/>
        <v/>
      </c>
      <c r="U175" s="609" t="str">
        <f t="shared" si="36"/>
        <v/>
      </c>
      <c r="V175" s="609" t="str">
        <f t="shared" si="36"/>
        <v/>
      </c>
      <c r="W175" s="609" t="str">
        <f t="shared" si="36"/>
        <v/>
      </c>
      <c r="X175" s="609" t="str">
        <f t="shared" si="36"/>
        <v/>
      </c>
      <c r="Y175" s="609" t="str">
        <f t="shared" si="36"/>
        <v/>
      </c>
      <c r="Z175" s="609" t="str">
        <f t="shared" si="36"/>
        <v/>
      </c>
      <c r="AA175" s="609" t="str">
        <f t="shared" si="36"/>
        <v/>
      </c>
      <c r="AB175" s="609" t="str">
        <f t="shared" si="36"/>
        <v/>
      </c>
      <c r="AC175" s="609" t="str">
        <f t="shared" si="36"/>
        <v/>
      </c>
      <c r="AD175" s="609" t="str">
        <f t="shared" si="36"/>
        <v/>
      </c>
      <c r="AE175" s="609" t="str">
        <f t="shared" si="36"/>
        <v/>
      </c>
      <c r="AF175" s="609" t="str">
        <f t="shared" si="36"/>
        <v/>
      </c>
      <c r="AG175" s="609" t="str">
        <f t="shared" si="36"/>
        <v/>
      </c>
      <c r="AH175" s="609" t="str">
        <f t="shared" si="36"/>
        <v/>
      </c>
      <c r="AI175" s="609" t="str">
        <f t="shared" si="36"/>
        <v/>
      </c>
      <c r="AJ175" s="609" t="str">
        <f t="shared" si="36"/>
        <v/>
      </c>
      <c r="AK175" s="609" t="str">
        <f t="shared" si="36"/>
        <v/>
      </c>
      <c r="AL175" s="609" t="str">
        <f t="shared" si="36"/>
        <v/>
      </c>
      <c r="AM175" s="609" t="str">
        <f t="shared" si="36"/>
        <v/>
      </c>
      <c r="AN175" s="609" t="str">
        <f t="shared" si="36"/>
        <v/>
      </c>
      <c r="AO175" s="609" t="str">
        <f t="shared" si="36"/>
        <v/>
      </c>
      <c r="AP175" s="609" t="str">
        <f t="shared" si="36"/>
        <v/>
      </c>
      <c r="AQ175" s="609" t="str">
        <f t="shared" si="36"/>
        <v/>
      </c>
      <c r="AR175" s="609" t="str">
        <f t="shared" si="36"/>
        <v/>
      </c>
      <c r="AS175" s="609" t="str">
        <f t="shared" si="36"/>
        <v/>
      </c>
      <c r="AT175" s="609" t="str">
        <f t="shared" si="36"/>
        <v/>
      </c>
      <c r="AU175" s="609" t="str">
        <f t="shared" si="36"/>
        <v/>
      </c>
      <c r="AV175" s="609" t="str">
        <f t="shared" si="36"/>
        <v/>
      </c>
      <c r="AW175" s="609" t="str">
        <f t="shared" si="36"/>
        <v/>
      </c>
      <c r="AX175" s="609" t="str">
        <f t="shared" si="36"/>
        <v/>
      </c>
      <c r="AY175" s="609" t="str">
        <f t="shared" si="36"/>
        <v/>
      </c>
      <c r="AZ175" s="609" t="str">
        <f t="shared" si="36"/>
        <v/>
      </c>
      <c r="BA175" s="609" t="str">
        <f t="shared" si="36"/>
        <v/>
      </c>
      <c r="BB175" s="609" t="str">
        <f t="shared" si="36"/>
        <v/>
      </c>
      <c r="BC175" s="609" t="str">
        <f t="shared" si="36"/>
        <v/>
      </c>
      <c r="BD175" s="609" t="str">
        <f t="shared" si="36"/>
        <v/>
      </c>
      <c r="BE175" s="609" t="str">
        <f t="shared" si="36"/>
        <v/>
      </c>
      <c r="BF175" s="609" t="str">
        <f t="shared" si="36"/>
        <v/>
      </c>
      <c r="BG175" s="609" t="str">
        <f t="shared" si="36"/>
        <v/>
      </c>
    </row>
    <row r="176" spans="2:59" x14ac:dyDescent="0.25">
      <c r="B176" s="654">
        <v>170</v>
      </c>
      <c r="C176" s="654"/>
      <c r="D176" s="654"/>
      <c r="E176" s="655"/>
      <c r="F176" s="654"/>
      <c r="H176" s="609" t="str">
        <f t="shared" si="28"/>
        <v/>
      </c>
      <c r="I176" s="609" t="str">
        <f t="shared" si="36"/>
        <v/>
      </c>
      <c r="J176" s="609" t="str">
        <f t="shared" si="36"/>
        <v/>
      </c>
      <c r="K176" s="609" t="str">
        <f t="shared" si="36"/>
        <v/>
      </c>
      <c r="L176" s="609" t="str">
        <f t="shared" si="36"/>
        <v/>
      </c>
      <c r="M176" s="609" t="str">
        <f t="shared" si="36"/>
        <v/>
      </c>
      <c r="N176" s="609" t="str">
        <f t="shared" si="36"/>
        <v/>
      </c>
      <c r="O176" s="609" t="str">
        <f t="shared" si="36"/>
        <v/>
      </c>
      <c r="P176" s="609" t="str">
        <f t="shared" si="36"/>
        <v/>
      </c>
      <c r="Q176" s="609" t="str">
        <f t="shared" si="36"/>
        <v/>
      </c>
      <c r="R176" s="609" t="str">
        <f t="shared" si="36"/>
        <v/>
      </c>
      <c r="S176" s="609" t="str">
        <f t="shared" si="36"/>
        <v/>
      </c>
      <c r="T176" s="609" t="str">
        <f t="shared" si="36"/>
        <v/>
      </c>
      <c r="U176" s="609" t="str">
        <f t="shared" si="36"/>
        <v/>
      </c>
      <c r="V176" s="609" t="str">
        <f t="shared" si="36"/>
        <v/>
      </c>
      <c r="W176" s="609" t="str">
        <f t="shared" si="36"/>
        <v/>
      </c>
      <c r="X176" s="609" t="str">
        <f t="shared" si="36"/>
        <v/>
      </c>
      <c r="Y176" s="609" t="str">
        <f t="shared" si="36"/>
        <v/>
      </c>
      <c r="Z176" s="609" t="str">
        <f t="shared" si="36"/>
        <v/>
      </c>
      <c r="AA176" s="609" t="str">
        <f t="shared" si="36"/>
        <v/>
      </c>
      <c r="AB176" s="609" t="str">
        <f t="shared" si="36"/>
        <v/>
      </c>
      <c r="AC176" s="609" t="str">
        <f t="shared" si="36"/>
        <v/>
      </c>
      <c r="AD176" s="609" t="str">
        <f t="shared" si="36"/>
        <v/>
      </c>
      <c r="AE176" s="609" t="str">
        <f t="shared" si="36"/>
        <v/>
      </c>
      <c r="AF176" s="609" t="str">
        <f t="shared" si="36"/>
        <v/>
      </c>
      <c r="AG176" s="609" t="str">
        <f t="shared" si="36"/>
        <v/>
      </c>
      <c r="AH176" s="609" t="str">
        <f t="shared" si="36"/>
        <v/>
      </c>
      <c r="AI176" s="609" t="str">
        <f t="shared" si="36"/>
        <v/>
      </c>
      <c r="AJ176" s="609" t="str">
        <f t="shared" si="36"/>
        <v/>
      </c>
      <c r="AK176" s="609" t="str">
        <f t="shared" si="36"/>
        <v/>
      </c>
      <c r="AL176" s="609" t="str">
        <f t="shared" si="36"/>
        <v/>
      </c>
      <c r="AM176" s="609" t="str">
        <f t="shared" si="36"/>
        <v/>
      </c>
      <c r="AN176" s="609" t="str">
        <f t="shared" si="36"/>
        <v/>
      </c>
      <c r="AO176" s="609" t="str">
        <f t="shared" si="36"/>
        <v/>
      </c>
      <c r="AP176" s="609" t="str">
        <f t="shared" si="36"/>
        <v/>
      </c>
      <c r="AQ176" s="609" t="str">
        <f t="shared" si="36"/>
        <v/>
      </c>
      <c r="AR176" s="609" t="str">
        <f t="shared" si="36"/>
        <v/>
      </c>
      <c r="AS176" s="609" t="str">
        <f t="shared" si="36"/>
        <v/>
      </c>
      <c r="AT176" s="609" t="str">
        <f t="shared" si="36"/>
        <v/>
      </c>
      <c r="AU176" s="609" t="str">
        <f t="shared" si="36"/>
        <v/>
      </c>
      <c r="AV176" s="609" t="str">
        <f t="shared" si="36"/>
        <v/>
      </c>
      <c r="AW176" s="609" t="str">
        <f t="shared" si="36"/>
        <v/>
      </c>
      <c r="AX176" s="609" t="str">
        <f t="shared" si="36"/>
        <v/>
      </c>
      <c r="AY176" s="609" t="str">
        <f t="shared" si="36"/>
        <v/>
      </c>
      <c r="AZ176" s="609" t="str">
        <f t="shared" si="36"/>
        <v/>
      </c>
      <c r="BA176" s="609" t="str">
        <f t="shared" si="36"/>
        <v/>
      </c>
      <c r="BB176" s="609" t="str">
        <f t="shared" si="36"/>
        <v/>
      </c>
      <c r="BC176" s="609" t="str">
        <f t="shared" si="36"/>
        <v/>
      </c>
      <c r="BD176" s="609" t="str">
        <f t="shared" si="36"/>
        <v/>
      </c>
      <c r="BE176" s="609" t="str">
        <f t="shared" si="36"/>
        <v/>
      </c>
      <c r="BF176" s="609" t="str">
        <f t="shared" si="36"/>
        <v/>
      </c>
      <c r="BG176" s="609" t="str">
        <f t="shared" si="36"/>
        <v/>
      </c>
    </row>
    <row r="177" spans="2:59" x14ac:dyDescent="0.25">
      <c r="B177" s="654">
        <v>171</v>
      </c>
      <c r="C177" s="654"/>
      <c r="D177" s="654"/>
      <c r="E177" s="655"/>
      <c r="F177" s="654"/>
      <c r="H177" s="609" t="str">
        <f t="shared" si="28"/>
        <v/>
      </c>
      <c r="I177" s="609" t="str">
        <f t="shared" si="36"/>
        <v/>
      </c>
      <c r="J177" s="609" t="str">
        <f t="shared" si="36"/>
        <v/>
      </c>
      <c r="K177" s="609" t="str">
        <f t="shared" si="36"/>
        <v/>
      </c>
      <c r="L177" s="609" t="str">
        <f t="shared" si="36"/>
        <v/>
      </c>
      <c r="M177" s="609" t="str">
        <f t="shared" si="36"/>
        <v/>
      </c>
      <c r="N177" s="609" t="str">
        <f t="shared" si="36"/>
        <v/>
      </c>
      <c r="O177" s="609" t="str">
        <f t="shared" si="36"/>
        <v/>
      </c>
      <c r="P177" s="609" t="str">
        <f t="shared" si="36"/>
        <v/>
      </c>
      <c r="Q177" s="609" t="str">
        <f t="shared" si="36"/>
        <v/>
      </c>
      <c r="R177" s="609" t="str">
        <f t="shared" si="36"/>
        <v/>
      </c>
      <c r="S177" s="609" t="str">
        <f t="shared" si="36"/>
        <v/>
      </c>
      <c r="T177" s="609" t="str">
        <f t="shared" si="36"/>
        <v/>
      </c>
      <c r="U177" s="609" t="str">
        <f t="shared" si="36"/>
        <v/>
      </c>
      <c r="V177" s="609" t="str">
        <f t="shared" si="36"/>
        <v/>
      </c>
      <c r="W177" s="609" t="str">
        <f t="shared" si="36"/>
        <v/>
      </c>
      <c r="X177" s="609" t="str">
        <f t="shared" si="36"/>
        <v/>
      </c>
      <c r="Y177" s="609" t="str">
        <f t="shared" si="36"/>
        <v/>
      </c>
      <c r="Z177" s="609" t="str">
        <f t="shared" si="36"/>
        <v/>
      </c>
      <c r="AA177" s="609" t="str">
        <f t="shared" si="36"/>
        <v/>
      </c>
      <c r="AB177" s="609" t="str">
        <f t="shared" si="36"/>
        <v/>
      </c>
      <c r="AC177" s="609" t="str">
        <f t="shared" si="36"/>
        <v/>
      </c>
      <c r="AD177" s="609" t="str">
        <f t="shared" si="36"/>
        <v/>
      </c>
      <c r="AE177" s="609" t="str">
        <f t="shared" si="36"/>
        <v/>
      </c>
      <c r="AF177" s="609" t="str">
        <f t="shared" si="36"/>
        <v/>
      </c>
      <c r="AG177" s="609" t="str">
        <f t="shared" si="36"/>
        <v/>
      </c>
      <c r="AH177" s="609" t="str">
        <f t="shared" si="36"/>
        <v/>
      </c>
      <c r="AI177" s="609" t="str">
        <f t="shared" si="36"/>
        <v/>
      </c>
      <c r="AJ177" s="609" t="str">
        <f t="shared" si="36"/>
        <v/>
      </c>
      <c r="AK177" s="609" t="str">
        <f t="shared" si="36"/>
        <v/>
      </c>
      <c r="AL177" s="609" t="str">
        <f t="shared" si="36"/>
        <v/>
      </c>
      <c r="AM177" s="609" t="str">
        <f t="shared" si="36"/>
        <v/>
      </c>
      <c r="AN177" s="609" t="str">
        <f t="shared" si="36"/>
        <v/>
      </c>
      <c r="AO177" s="609" t="str">
        <f t="shared" si="36"/>
        <v/>
      </c>
      <c r="AP177" s="609" t="str">
        <f t="shared" si="36"/>
        <v/>
      </c>
      <c r="AQ177" s="609" t="str">
        <f t="shared" si="36"/>
        <v/>
      </c>
      <c r="AR177" s="609" t="str">
        <f t="shared" si="36"/>
        <v/>
      </c>
      <c r="AS177" s="609" t="str">
        <f t="shared" si="36"/>
        <v/>
      </c>
      <c r="AT177" s="609" t="str">
        <f t="shared" si="36"/>
        <v/>
      </c>
      <c r="AU177" s="609" t="str">
        <f t="shared" si="36"/>
        <v/>
      </c>
      <c r="AV177" s="609" t="str">
        <f t="shared" si="36"/>
        <v/>
      </c>
      <c r="AW177" s="609" t="str">
        <f t="shared" si="36"/>
        <v/>
      </c>
      <c r="AX177" s="609" t="str">
        <f t="shared" si="36"/>
        <v/>
      </c>
      <c r="AY177" s="609" t="str">
        <f t="shared" si="36"/>
        <v/>
      </c>
      <c r="AZ177" s="609" t="str">
        <f t="shared" si="36"/>
        <v/>
      </c>
      <c r="BA177" s="609" t="str">
        <f t="shared" si="36"/>
        <v/>
      </c>
      <c r="BB177" s="609" t="str">
        <f t="shared" ref="I177:BG182" si="37">IF($D177=BB$6,$B177&amp;", ","")</f>
        <v/>
      </c>
      <c r="BC177" s="609" t="str">
        <f t="shared" si="37"/>
        <v/>
      </c>
      <c r="BD177" s="609" t="str">
        <f t="shared" si="37"/>
        <v/>
      </c>
      <c r="BE177" s="609" t="str">
        <f t="shared" si="37"/>
        <v/>
      </c>
      <c r="BF177" s="609" t="str">
        <f t="shared" si="37"/>
        <v/>
      </c>
      <c r="BG177" s="609" t="str">
        <f t="shared" si="37"/>
        <v/>
      </c>
    </row>
    <row r="178" spans="2:59" x14ac:dyDescent="0.25">
      <c r="B178" s="654">
        <v>172</v>
      </c>
      <c r="C178" s="654"/>
      <c r="D178" s="654"/>
      <c r="E178" s="655"/>
      <c r="F178" s="654"/>
      <c r="H178" s="609" t="str">
        <f t="shared" si="28"/>
        <v/>
      </c>
      <c r="I178" s="609" t="str">
        <f t="shared" si="37"/>
        <v/>
      </c>
      <c r="J178" s="609" t="str">
        <f t="shared" si="37"/>
        <v/>
      </c>
      <c r="K178" s="609" t="str">
        <f t="shared" si="37"/>
        <v/>
      </c>
      <c r="L178" s="609" t="str">
        <f t="shared" si="37"/>
        <v/>
      </c>
      <c r="M178" s="609" t="str">
        <f t="shared" si="37"/>
        <v/>
      </c>
      <c r="N178" s="609" t="str">
        <f t="shared" si="37"/>
        <v/>
      </c>
      <c r="O178" s="609" t="str">
        <f t="shared" si="37"/>
        <v/>
      </c>
      <c r="P178" s="609" t="str">
        <f t="shared" si="37"/>
        <v/>
      </c>
      <c r="Q178" s="609" t="str">
        <f t="shared" si="37"/>
        <v/>
      </c>
      <c r="R178" s="609" t="str">
        <f t="shared" si="37"/>
        <v/>
      </c>
      <c r="S178" s="609" t="str">
        <f t="shared" si="37"/>
        <v/>
      </c>
      <c r="T178" s="609" t="str">
        <f t="shared" si="37"/>
        <v/>
      </c>
      <c r="U178" s="609" t="str">
        <f t="shared" si="37"/>
        <v/>
      </c>
      <c r="V178" s="609" t="str">
        <f t="shared" si="37"/>
        <v/>
      </c>
      <c r="W178" s="609" t="str">
        <f t="shared" si="37"/>
        <v/>
      </c>
      <c r="X178" s="609" t="str">
        <f t="shared" si="37"/>
        <v/>
      </c>
      <c r="Y178" s="609" t="str">
        <f t="shared" si="37"/>
        <v/>
      </c>
      <c r="Z178" s="609" t="str">
        <f t="shared" si="37"/>
        <v/>
      </c>
      <c r="AA178" s="609" t="str">
        <f t="shared" si="37"/>
        <v/>
      </c>
      <c r="AB178" s="609" t="str">
        <f t="shared" si="37"/>
        <v/>
      </c>
      <c r="AC178" s="609" t="str">
        <f t="shared" si="37"/>
        <v/>
      </c>
      <c r="AD178" s="609" t="str">
        <f t="shared" si="37"/>
        <v/>
      </c>
      <c r="AE178" s="609" t="str">
        <f t="shared" si="37"/>
        <v/>
      </c>
      <c r="AF178" s="609" t="str">
        <f t="shared" si="37"/>
        <v/>
      </c>
      <c r="AG178" s="609" t="str">
        <f t="shared" si="37"/>
        <v/>
      </c>
      <c r="AH178" s="609" t="str">
        <f t="shared" si="37"/>
        <v/>
      </c>
      <c r="AI178" s="609" t="str">
        <f t="shared" si="37"/>
        <v/>
      </c>
      <c r="AJ178" s="609" t="str">
        <f t="shared" si="37"/>
        <v/>
      </c>
      <c r="AK178" s="609" t="str">
        <f t="shared" si="37"/>
        <v/>
      </c>
      <c r="AL178" s="609" t="str">
        <f t="shared" si="37"/>
        <v/>
      </c>
      <c r="AM178" s="609" t="str">
        <f t="shared" si="37"/>
        <v/>
      </c>
      <c r="AN178" s="609" t="str">
        <f t="shared" si="37"/>
        <v/>
      </c>
      <c r="AO178" s="609" t="str">
        <f t="shared" si="37"/>
        <v/>
      </c>
      <c r="AP178" s="609" t="str">
        <f t="shared" si="37"/>
        <v/>
      </c>
      <c r="AQ178" s="609" t="str">
        <f t="shared" si="37"/>
        <v/>
      </c>
      <c r="AR178" s="609" t="str">
        <f t="shared" si="37"/>
        <v/>
      </c>
      <c r="AS178" s="609" t="str">
        <f t="shared" si="37"/>
        <v/>
      </c>
      <c r="AT178" s="609" t="str">
        <f t="shared" si="37"/>
        <v/>
      </c>
      <c r="AU178" s="609" t="str">
        <f t="shared" si="37"/>
        <v/>
      </c>
      <c r="AV178" s="609" t="str">
        <f t="shared" si="37"/>
        <v/>
      </c>
      <c r="AW178" s="609" t="str">
        <f t="shared" si="37"/>
        <v/>
      </c>
      <c r="AX178" s="609" t="str">
        <f t="shared" si="37"/>
        <v/>
      </c>
      <c r="AY178" s="609" t="str">
        <f t="shared" si="37"/>
        <v/>
      </c>
      <c r="AZ178" s="609" t="str">
        <f t="shared" si="37"/>
        <v/>
      </c>
      <c r="BA178" s="609" t="str">
        <f t="shared" si="37"/>
        <v/>
      </c>
      <c r="BB178" s="609" t="str">
        <f t="shared" si="37"/>
        <v/>
      </c>
      <c r="BC178" s="609" t="str">
        <f t="shared" si="37"/>
        <v/>
      </c>
      <c r="BD178" s="609" t="str">
        <f t="shared" si="37"/>
        <v/>
      </c>
      <c r="BE178" s="609" t="str">
        <f t="shared" si="37"/>
        <v/>
      </c>
      <c r="BF178" s="609" t="str">
        <f t="shared" si="37"/>
        <v/>
      </c>
      <c r="BG178" s="609" t="str">
        <f t="shared" si="37"/>
        <v/>
      </c>
    </row>
    <row r="179" spans="2:59" x14ac:dyDescent="0.25">
      <c r="B179" s="654">
        <v>173</v>
      </c>
      <c r="C179" s="654"/>
      <c r="D179" s="654"/>
      <c r="E179" s="655"/>
      <c r="F179" s="654"/>
      <c r="H179" s="609" t="str">
        <f t="shared" si="28"/>
        <v/>
      </c>
      <c r="I179" s="609" t="str">
        <f t="shared" si="37"/>
        <v/>
      </c>
      <c r="J179" s="609" t="str">
        <f t="shared" si="37"/>
        <v/>
      </c>
      <c r="K179" s="609" t="str">
        <f t="shared" si="37"/>
        <v/>
      </c>
      <c r="L179" s="609" t="str">
        <f t="shared" si="37"/>
        <v/>
      </c>
      <c r="M179" s="609" t="str">
        <f t="shared" si="37"/>
        <v/>
      </c>
      <c r="N179" s="609" t="str">
        <f t="shared" si="37"/>
        <v/>
      </c>
      <c r="O179" s="609" t="str">
        <f t="shared" si="37"/>
        <v/>
      </c>
      <c r="P179" s="609" t="str">
        <f t="shared" si="37"/>
        <v/>
      </c>
      <c r="Q179" s="609" t="str">
        <f t="shared" si="37"/>
        <v/>
      </c>
      <c r="R179" s="609" t="str">
        <f t="shared" si="37"/>
        <v/>
      </c>
      <c r="S179" s="609" t="str">
        <f t="shared" si="37"/>
        <v/>
      </c>
      <c r="T179" s="609" t="str">
        <f t="shared" si="37"/>
        <v/>
      </c>
      <c r="U179" s="609" t="str">
        <f t="shared" si="37"/>
        <v/>
      </c>
      <c r="V179" s="609" t="str">
        <f t="shared" si="37"/>
        <v/>
      </c>
      <c r="W179" s="609" t="str">
        <f t="shared" si="37"/>
        <v/>
      </c>
      <c r="X179" s="609" t="str">
        <f t="shared" si="37"/>
        <v/>
      </c>
      <c r="Y179" s="609" t="str">
        <f t="shared" si="37"/>
        <v/>
      </c>
      <c r="Z179" s="609" t="str">
        <f t="shared" si="37"/>
        <v/>
      </c>
      <c r="AA179" s="609" t="str">
        <f t="shared" si="37"/>
        <v/>
      </c>
      <c r="AB179" s="609" t="str">
        <f t="shared" si="37"/>
        <v/>
      </c>
      <c r="AC179" s="609" t="str">
        <f t="shared" si="37"/>
        <v/>
      </c>
      <c r="AD179" s="609" t="str">
        <f t="shared" si="37"/>
        <v/>
      </c>
      <c r="AE179" s="609" t="str">
        <f t="shared" si="37"/>
        <v/>
      </c>
      <c r="AF179" s="609" t="str">
        <f t="shared" si="37"/>
        <v/>
      </c>
      <c r="AG179" s="609" t="str">
        <f t="shared" si="37"/>
        <v/>
      </c>
      <c r="AH179" s="609" t="str">
        <f t="shared" si="37"/>
        <v/>
      </c>
      <c r="AI179" s="609" t="str">
        <f t="shared" si="37"/>
        <v/>
      </c>
      <c r="AJ179" s="609" t="str">
        <f t="shared" si="37"/>
        <v/>
      </c>
      <c r="AK179" s="609" t="str">
        <f t="shared" si="37"/>
        <v/>
      </c>
      <c r="AL179" s="609" t="str">
        <f t="shared" si="37"/>
        <v/>
      </c>
      <c r="AM179" s="609" t="str">
        <f t="shared" si="37"/>
        <v/>
      </c>
      <c r="AN179" s="609" t="str">
        <f t="shared" si="37"/>
        <v/>
      </c>
      <c r="AO179" s="609" t="str">
        <f t="shared" si="37"/>
        <v/>
      </c>
      <c r="AP179" s="609" t="str">
        <f t="shared" si="37"/>
        <v/>
      </c>
      <c r="AQ179" s="609" t="str">
        <f t="shared" si="37"/>
        <v/>
      </c>
      <c r="AR179" s="609" t="str">
        <f t="shared" si="37"/>
        <v/>
      </c>
      <c r="AS179" s="609" t="str">
        <f t="shared" si="37"/>
        <v/>
      </c>
      <c r="AT179" s="609" t="str">
        <f t="shared" si="37"/>
        <v/>
      </c>
      <c r="AU179" s="609" t="str">
        <f t="shared" si="37"/>
        <v/>
      </c>
      <c r="AV179" s="609" t="str">
        <f t="shared" si="37"/>
        <v/>
      </c>
      <c r="AW179" s="609" t="str">
        <f t="shared" si="37"/>
        <v/>
      </c>
      <c r="AX179" s="609" t="str">
        <f t="shared" si="37"/>
        <v/>
      </c>
      <c r="AY179" s="609" t="str">
        <f t="shared" si="37"/>
        <v/>
      </c>
      <c r="AZ179" s="609" t="str">
        <f t="shared" si="37"/>
        <v/>
      </c>
      <c r="BA179" s="609" t="str">
        <f t="shared" si="37"/>
        <v/>
      </c>
      <c r="BB179" s="609" t="str">
        <f t="shared" si="37"/>
        <v/>
      </c>
      <c r="BC179" s="609" t="str">
        <f t="shared" si="37"/>
        <v/>
      </c>
      <c r="BD179" s="609" t="str">
        <f t="shared" si="37"/>
        <v/>
      </c>
      <c r="BE179" s="609" t="str">
        <f t="shared" si="37"/>
        <v/>
      </c>
      <c r="BF179" s="609" t="str">
        <f t="shared" si="37"/>
        <v/>
      </c>
      <c r="BG179" s="609" t="str">
        <f t="shared" si="37"/>
        <v/>
      </c>
    </row>
    <row r="180" spans="2:59" x14ac:dyDescent="0.25">
      <c r="B180" s="654">
        <v>174</v>
      </c>
      <c r="C180" s="654"/>
      <c r="D180" s="654"/>
      <c r="E180" s="655"/>
      <c r="F180" s="654"/>
      <c r="H180" s="609" t="str">
        <f t="shared" si="28"/>
        <v/>
      </c>
      <c r="I180" s="609" t="str">
        <f t="shared" si="37"/>
        <v/>
      </c>
      <c r="J180" s="609" t="str">
        <f t="shared" si="37"/>
        <v/>
      </c>
      <c r="K180" s="609" t="str">
        <f t="shared" si="37"/>
        <v/>
      </c>
      <c r="L180" s="609" t="str">
        <f t="shared" si="37"/>
        <v/>
      </c>
      <c r="M180" s="609" t="str">
        <f t="shared" si="37"/>
        <v/>
      </c>
      <c r="N180" s="609" t="str">
        <f t="shared" si="37"/>
        <v/>
      </c>
      <c r="O180" s="609" t="str">
        <f t="shared" si="37"/>
        <v/>
      </c>
      <c r="P180" s="609" t="str">
        <f t="shared" si="37"/>
        <v/>
      </c>
      <c r="Q180" s="609" t="str">
        <f t="shared" si="37"/>
        <v/>
      </c>
      <c r="R180" s="609" t="str">
        <f t="shared" si="37"/>
        <v/>
      </c>
      <c r="S180" s="609" t="str">
        <f t="shared" si="37"/>
        <v/>
      </c>
      <c r="T180" s="609" t="str">
        <f t="shared" si="37"/>
        <v/>
      </c>
      <c r="U180" s="609" t="str">
        <f t="shared" si="37"/>
        <v/>
      </c>
      <c r="V180" s="609" t="str">
        <f t="shared" si="37"/>
        <v/>
      </c>
      <c r="W180" s="609" t="str">
        <f t="shared" si="37"/>
        <v/>
      </c>
      <c r="X180" s="609" t="str">
        <f t="shared" si="37"/>
        <v/>
      </c>
      <c r="Y180" s="609" t="str">
        <f t="shared" si="37"/>
        <v/>
      </c>
      <c r="Z180" s="609" t="str">
        <f t="shared" si="37"/>
        <v/>
      </c>
      <c r="AA180" s="609" t="str">
        <f t="shared" si="37"/>
        <v/>
      </c>
      <c r="AB180" s="609" t="str">
        <f t="shared" si="37"/>
        <v/>
      </c>
      <c r="AC180" s="609" t="str">
        <f t="shared" si="37"/>
        <v/>
      </c>
      <c r="AD180" s="609" t="str">
        <f t="shared" si="37"/>
        <v/>
      </c>
      <c r="AE180" s="609" t="str">
        <f t="shared" si="37"/>
        <v/>
      </c>
      <c r="AF180" s="609" t="str">
        <f t="shared" si="37"/>
        <v/>
      </c>
      <c r="AG180" s="609" t="str">
        <f t="shared" si="37"/>
        <v/>
      </c>
      <c r="AH180" s="609" t="str">
        <f t="shared" si="37"/>
        <v/>
      </c>
      <c r="AI180" s="609" t="str">
        <f t="shared" si="37"/>
        <v/>
      </c>
      <c r="AJ180" s="609" t="str">
        <f t="shared" si="37"/>
        <v/>
      </c>
      <c r="AK180" s="609" t="str">
        <f t="shared" si="37"/>
        <v/>
      </c>
      <c r="AL180" s="609" t="str">
        <f t="shared" si="37"/>
        <v/>
      </c>
      <c r="AM180" s="609" t="str">
        <f t="shared" si="37"/>
        <v/>
      </c>
      <c r="AN180" s="609" t="str">
        <f t="shared" si="37"/>
        <v/>
      </c>
      <c r="AO180" s="609" t="str">
        <f t="shared" si="37"/>
        <v/>
      </c>
      <c r="AP180" s="609" t="str">
        <f t="shared" si="37"/>
        <v/>
      </c>
      <c r="AQ180" s="609" t="str">
        <f t="shared" si="37"/>
        <v/>
      </c>
      <c r="AR180" s="609" t="str">
        <f t="shared" si="37"/>
        <v/>
      </c>
      <c r="AS180" s="609" t="str">
        <f t="shared" si="37"/>
        <v/>
      </c>
      <c r="AT180" s="609" t="str">
        <f t="shared" si="37"/>
        <v/>
      </c>
      <c r="AU180" s="609" t="str">
        <f t="shared" si="37"/>
        <v/>
      </c>
      <c r="AV180" s="609" t="str">
        <f t="shared" si="37"/>
        <v/>
      </c>
      <c r="AW180" s="609" t="str">
        <f t="shared" si="37"/>
        <v/>
      </c>
      <c r="AX180" s="609" t="str">
        <f t="shared" si="37"/>
        <v/>
      </c>
      <c r="AY180" s="609" t="str">
        <f t="shared" si="37"/>
        <v/>
      </c>
      <c r="AZ180" s="609" t="str">
        <f t="shared" si="37"/>
        <v/>
      </c>
      <c r="BA180" s="609" t="str">
        <f t="shared" si="37"/>
        <v/>
      </c>
      <c r="BB180" s="609" t="str">
        <f t="shared" si="37"/>
        <v/>
      </c>
      <c r="BC180" s="609" t="str">
        <f t="shared" si="37"/>
        <v/>
      </c>
      <c r="BD180" s="609" t="str">
        <f t="shared" si="37"/>
        <v/>
      </c>
      <c r="BE180" s="609" t="str">
        <f t="shared" si="37"/>
        <v/>
      </c>
      <c r="BF180" s="609" t="str">
        <f t="shared" si="37"/>
        <v/>
      </c>
      <c r="BG180" s="609" t="str">
        <f t="shared" si="37"/>
        <v/>
      </c>
    </row>
    <row r="181" spans="2:59" x14ac:dyDescent="0.25">
      <c r="B181" s="654">
        <v>175</v>
      </c>
      <c r="C181" s="654"/>
      <c r="D181" s="654"/>
      <c r="E181" s="655"/>
      <c r="F181" s="654"/>
      <c r="H181" s="609" t="str">
        <f t="shared" si="28"/>
        <v/>
      </c>
      <c r="I181" s="609" t="str">
        <f t="shared" si="37"/>
        <v/>
      </c>
      <c r="J181" s="609" t="str">
        <f t="shared" si="37"/>
        <v/>
      </c>
      <c r="K181" s="609" t="str">
        <f t="shared" si="37"/>
        <v/>
      </c>
      <c r="L181" s="609" t="str">
        <f t="shared" si="37"/>
        <v/>
      </c>
      <c r="M181" s="609" t="str">
        <f t="shared" si="37"/>
        <v/>
      </c>
      <c r="N181" s="609" t="str">
        <f t="shared" si="37"/>
        <v/>
      </c>
      <c r="O181" s="609" t="str">
        <f t="shared" si="37"/>
        <v/>
      </c>
      <c r="P181" s="609" t="str">
        <f t="shared" si="37"/>
        <v/>
      </c>
      <c r="Q181" s="609" t="str">
        <f t="shared" si="37"/>
        <v/>
      </c>
      <c r="R181" s="609" t="str">
        <f t="shared" si="37"/>
        <v/>
      </c>
      <c r="S181" s="609" t="str">
        <f t="shared" si="37"/>
        <v/>
      </c>
      <c r="T181" s="609" t="str">
        <f t="shared" si="37"/>
        <v/>
      </c>
      <c r="U181" s="609" t="str">
        <f t="shared" si="37"/>
        <v/>
      </c>
      <c r="V181" s="609" t="str">
        <f t="shared" si="37"/>
        <v/>
      </c>
      <c r="W181" s="609" t="str">
        <f t="shared" si="37"/>
        <v/>
      </c>
      <c r="X181" s="609" t="str">
        <f t="shared" si="37"/>
        <v/>
      </c>
      <c r="Y181" s="609" t="str">
        <f t="shared" si="37"/>
        <v/>
      </c>
      <c r="Z181" s="609" t="str">
        <f t="shared" si="37"/>
        <v/>
      </c>
      <c r="AA181" s="609" t="str">
        <f t="shared" si="37"/>
        <v/>
      </c>
      <c r="AB181" s="609" t="str">
        <f t="shared" si="37"/>
        <v/>
      </c>
      <c r="AC181" s="609" t="str">
        <f t="shared" si="37"/>
        <v/>
      </c>
      <c r="AD181" s="609" t="str">
        <f t="shared" si="37"/>
        <v/>
      </c>
      <c r="AE181" s="609" t="str">
        <f t="shared" si="37"/>
        <v/>
      </c>
      <c r="AF181" s="609" t="str">
        <f t="shared" si="37"/>
        <v/>
      </c>
      <c r="AG181" s="609" t="str">
        <f t="shared" si="37"/>
        <v/>
      </c>
      <c r="AH181" s="609" t="str">
        <f t="shared" si="37"/>
        <v/>
      </c>
      <c r="AI181" s="609" t="str">
        <f t="shared" si="37"/>
        <v/>
      </c>
      <c r="AJ181" s="609" t="str">
        <f t="shared" si="37"/>
        <v/>
      </c>
      <c r="AK181" s="609" t="str">
        <f t="shared" si="37"/>
        <v/>
      </c>
      <c r="AL181" s="609" t="str">
        <f t="shared" si="37"/>
        <v/>
      </c>
      <c r="AM181" s="609" t="str">
        <f t="shared" si="37"/>
        <v/>
      </c>
      <c r="AN181" s="609" t="str">
        <f t="shared" si="37"/>
        <v/>
      </c>
      <c r="AO181" s="609" t="str">
        <f t="shared" si="37"/>
        <v/>
      </c>
      <c r="AP181" s="609" t="str">
        <f t="shared" si="37"/>
        <v/>
      </c>
      <c r="AQ181" s="609" t="str">
        <f t="shared" si="37"/>
        <v/>
      </c>
      <c r="AR181" s="609" t="str">
        <f t="shared" si="37"/>
        <v/>
      </c>
      <c r="AS181" s="609" t="str">
        <f t="shared" si="37"/>
        <v/>
      </c>
      <c r="AT181" s="609" t="str">
        <f t="shared" si="37"/>
        <v/>
      </c>
      <c r="AU181" s="609" t="str">
        <f t="shared" si="37"/>
        <v/>
      </c>
      <c r="AV181" s="609" t="str">
        <f t="shared" si="37"/>
        <v/>
      </c>
      <c r="AW181" s="609" t="str">
        <f t="shared" si="37"/>
        <v/>
      </c>
      <c r="AX181" s="609" t="str">
        <f t="shared" si="37"/>
        <v/>
      </c>
      <c r="AY181" s="609" t="str">
        <f t="shared" si="37"/>
        <v/>
      </c>
      <c r="AZ181" s="609" t="str">
        <f t="shared" si="37"/>
        <v/>
      </c>
      <c r="BA181" s="609" t="str">
        <f t="shared" si="37"/>
        <v/>
      </c>
      <c r="BB181" s="609" t="str">
        <f t="shared" si="37"/>
        <v/>
      </c>
      <c r="BC181" s="609" t="str">
        <f t="shared" si="37"/>
        <v/>
      </c>
      <c r="BD181" s="609" t="str">
        <f t="shared" si="37"/>
        <v/>
      </c>
      <c r="BE181" s="609" t="str">
        <f t="shared" si="37"/>
        <v/>
      </c>
      <c r="BF181" s="609" t="str">
        <f t="shared" si="37"/>
        <v/>
      </c>
      <c r="BG181" s="609" t="str">
        <f t="shared" si="37"/>
        <v/>
      </c>
    </row>
    <row r="182" spans="2:59" x14ac:dyDescent="0.25">
      <c r="B182" s="654">
        <v>176</v>
      </c>
      <c r="C182" s="654"/>
      <c r="D182" s="654"/>
      <c r="E182" s="655"/>
      <c r="F182" s="654"/>
      <c r="H182" s="609" t="str">
        <f t="shared" si="28"/>
        <v/>
      </c>
      <c r="I182" s="609" t="str">
        <f t="shared" si="37"/>
        <v/>
      </c>
      <c r="J182" s="609" t="str">
        <f t="shared" si="37"/>
        <v/>
      </c>
      <c r="K182" s="609" t="str">
        <f t="shared" si="37"/>
        <v/>
      </c>
      <c r="L182" s="609" t="str">
        <f t="shared" si="37"/>
        <v/>
      </c>
      <c r="M182" s="609" t="str">
        <f t="shared" si="37"/>
        <v/>
      </c>
      <c r="N182" s="609" t="str">
        <f t="shared" si="37"/>
        <v/>
      </c>
      <c r="O182" s="609" t="str">
        <f t="shared" si="37"/>
        <v/>
      </c>
      <c r="P182" s="609" t="str">
        <f t="shared" si="37"/>
        <v/>
      </c>
      <c r="Q182" s="609" t="str">
        <f t="shared" si="37"/>
        <v/>
      </c>
      <c r="R182" s="609" t="str">
        <f t="shared" si="37"/>
        <v/>
      </c>
      <c r="S182" s="609" t="str">
        <f t="shared" si="37"/>
        <v/>
      </c>
      <c r="T182" s="609" t="str">
        <f t="shared" si="37"/>
        <v/>
      </c>
      <c r="U182" s="609" t="str">
        <f t="shared" si="37"/>
        <v/>
      </c>
      <c r="V182" s="609" t="str">
        <f t="shared" si="37"/>
        <v/>
      </c>
      <c r="W182" s="609" t="str">
        <f t="shared" si="37"/>
        <v/>
      </c>
      <c r="X182" s="609" t="str">
        <f t="shared" si="37"/>
        <v/>
      </c>
      <c r="Y182" s="609" t="str">
        <f t="shared" si="37"/>
        <v/>
      </c>
      <c r="Z182" s="609" t="str">
        <f t="shared" si="37"/>
        <v/>
      </c>
      <c r="AA182" s="609" t="str">
        <f t="shared" si="37"/>
        <v/>
      </c>
      <c r="AB182" s="609" t="str">
        <f t="shared" si="37"/>
        <v/>
      </c>
      <c r="AC182" s="609" t="str">
        <f t="shared" si="37"/>
        <v/>
      </c>
      <c r="AD182" s="609" t="str">
        <f t="shared" si="37"/>
        <v/>
      </c>
      <c r="AE182" s="609" t="str">
        <f t="shared" si="37"/>
        <v/>
      </c>
      <c r="AF182" s="609" t="str">
        <f t="shared" si="37"/>
        <v/>
      </c>
      <c r="AG182" s="609" t="str">
        <f t="shared" si="37"/>
        <v/>
      </c>
      <c r="AH182" s="609" t="str">
        <f t="shared" si="37"/>
        <v/>
      </c>
      <c r="AI182" s="609" t="str">
        <f t="shared" si="37"/>
        <v/>
      </c>
      <c r="AJ182" s="609" t="str">
        <f t="shared" si="37"/>
        <v/>
      </c>
      <c r="AK182" s="609" t="str">
        <f t="shared" si="37"/>
        <v/>
      </c>
      <c r="AL182" s="609" t="str">
        <f t="shared" si="37"/>
        <v/>
      </c>
      <c r="AM182" s="609" t="str">
        <f t="shared" si="37"/>
        <v/>
      </c>
      <c r="AN182" s="609" t="str">
        <f t="shared" si="37"/>
        <v/>
      </c>
      <c r="AO182" s="609" t="str">
        <f t="shared" si="37"/>
        <v/>
      </c>
      <c r="AP182" s="609" t="str">
        <f t="shared" si="37"/>
        <v/>
      </c>
      <c r="AQ182" s="609" t="str">
        <f t="shared" si="37"/>
        <v/>
      </c>
      <c r="AR182" s="609" t="str">
        <f t="shared" si="37"/>
        <v/>
      </c>
      <c r="AS182" s="609" t="str">
        <f t="shared" si="37"/>
        <v/>
      </c>
      <c r="AT182" s="609" t="str">
        <f t="shared" si="37"/>
        <v/>
      </c>
      <c r="AU182" s="609" t="str">
        <f t="shared" si="37"/>
        <v/>
      </c>
      <c r="AV182" s="609" t="str">
        <f t="shared" si="37"/>
        <v/>
      </c>
      <c r="AW182" s="609" t="str">
        <f t="shared" si="37"/>
        <v/>
      </c>
      <c r="AX182" s="609" t="str">
        <f t="shared" si="37"/>
        <v/>
      </c>
      <c r="AY182" s="609" t="str">
        <f t="shared" si="37"/>
        <v/>
      </c>
      <c r="AZ182" s="609" t="str">
        <f t="shared" si="37"/>
        <v/>
      </c>
      <c r="BA182" s="609" t="str">
        <f t="shared" si="37"/>
        <v/>
      </c>
      <c r="BB182" s="609" t="str">
        <f t="shared" ref="I182:BG187" si="38">IF($D182=BB$6,$B182&amp;", ","")</f>
        <v/>
      </c>
      <c r="BC182" s="609" t="str">
        <f t="shared" si="38"/>
        <v/>
      </c>
      <c r="BD182" s="609" t="str">
        <f t="shared" si="38"/>
        <v/>
      </c>
      <c r="BE182" s="609" t="str">
        <f t="shared" si="38"/>
        <v/>
      </c>
      <c r="BF182" s="609" t="str">
        <f t="shared" si="38"/>
        <v/>
      </c>
      <c r="BG182" s="609" t="str">
        <f t="shared" si="38"/>
        <v/>
      </c>
    </row>
    <row r="183" spans="2:59" x14ac:dyDescent="0.25">
      <c r="B183" s="654">
        <v>177</v>
      </c>
      <c r="C183" s="654"/>
      <c r="D183" s="654"/>
      <c r="E183" s="655"/>
      <c r="F183" s="654"/>
      <c r="H183" s="609" t="str">
        <f t="shared" si="28"/>
        <v/>
      </c>
      <c r="I183" s="609" t="str">
        <f t="shared" si="38"/>
        <v/>
      </c>
      <c r="J183" s="609" t="str">
        <f t="shared" si="38"/>
        <v/>
      </c>
      <c r="K183" s="609" t="str">
        <f t="shared" si="38"/>
        <v/>
      </c>
      <c r="L183" s="609" t="str">
        <f t="shared" si="38"/>
        <v/>
      </c>
      <c r="M183" s="609" t="str">
        <f t="shared" si="38"/>
        <v/>
      </c>
      <c r="N183" s="609" t="str">
        <f t="shared" si="38"/>
        <v/>
      </c>
      <c r="O183" s="609" t="str">
        <f t="shared" si="38"/>
        <v/>
      </c>
      <c r="P183" s="609" t="str">
        <f t="shared" si="38"/>
        <v/>
      </c>
      <c r="Q183" s="609" t="str">
        <f t="shared" si="38"/>
        <v/>
      </c>
      <c r="R183" s="609" t="str">
        <f t="shared" si="38"/>
        <v/>
      </c>
      <c r="S183" s="609" t="str">
        <f t="shared" si="38"/>
        <v/>
      </c>
      <c r="T183" s="609" t="str">
        <f t="shared" si="38"/>
        <v/>
      </c>
      <c r="U183" s="609" t="str">
        <f t="shared" si="38"/>
        <v/>
      </c>
      <c r="V183" s="609" t="str">
        <f t="shared" si="38"/>
        <v/>
      </c>
      <c r="W183" s="609" t="str">
        <f t="shared" si="38"/>
        <v/>
      </c>
      <c r="X183" s="609" t="str">
        <f t="shared" si="38"/>
        <v/>
      </c>
      <c r="Y183" s="609" t="str">
        <f t="shared" si="38"/>
        <v/>
      </c>
      <c r="Z183" s="609" t="str">
        <f t="shared" si="38"/>
        <v/>
      </c>
      <c r="AA183" s="609" t="str">
        <f t="shared" si="38"/>
        <v/>
      </c>
      <c r="AB183" s="609" t="str">
        <f t="shared" si="38"/>
        <v/>
      </c>
      <c r="AC183" s="609" t="str">
        <f t="shared" si="38"/>
        <v/>
      </c>
      <c r="AD183" s="609" t="str">
        <f t="shared" si="38"/>
        <v/>
      </c>
      <c r="AE183" s="609" t="str">
        <f t="shared" si="38"/>
        <v/>
      </c>
      <c r="AF183" s="609" t="str">
        <f t="shared" si="38"/>
        <v/>
      </c>
      <c r="AG183" s="609" t="str">
        <f t="shared" si="38"/>
        <v/>
      </c>
      <c r="AH183" s="609" t="str">
        <f t="shared" si="38"/>
        <v/>
      </c>
      <c r="AI183" s="609" t="str">
        <f t="shared" si="38"/>
        <v/>
      </c>
      <c r="AJ183" s="609" t="str">
        <f t="shared" si="38"/>
        <v/>
      </c>
      <c r="AK183" s="609" t="str">
        <f t="shared" si="38"/>
        <v/>
      </c>
      <c r="AL183" s="609" t="str">
        <f t="shared" si="38"/>
        <v/>
      </c>
      <c r="AM183" s="609" t="str">
        <f t="shared" si="38"/>
        <v/>
      </c>
      <c r="AN183" s="609" t="str">
        <f t="shared" si="38"/>
        <v/>
      </c>
      <c r="AO183" s="609" t="str">
        <f t="shared" si="38"/>
        <v/>
      </c>
      <c r="AP183" s="609" t="str">
        <f t="shared" si="38"/>
        <v/>
      </c>
      <c r="AQ183" s="609" t="str">
        <f t="shared" si="38"/>
        <v/>
      </c>
      <c r="AR183" s="609" t="str">
        <f t="shared" si="38"/>
        <v/>
      </c>
      <c r="AS183" s="609" t="str">
        <f t="shared" si="38"/>
        <v/>
      </c>
      <c r="AT183" s="609" t="str">
        <f t="shared" si="38"/>
        <v/>
      </c>
      <c r="AU183" s="609" t="str">
        <f t="shared" si="38"/>
        <v/>
      </c>
      <c r="AV183" s="609" t="str">
        <f t="shared" si="38"/>
        <v/>
      </c>
      <c r="AW183" s="609" t="str">
        <f t="shared" si="38"/>
        <v/>
      </c>
      <c r="AX183" s="609" t="str">
        <f t="shared" si="38"/>
        <v/>
      </c>
      <c r="AY183" s="609" t="str">
        <f t="shared" si="38"/>
        <v/>
      </c>
      <c r="AZ183" s="609" t="str">
        <f t="shared" si="38"/>
        <v/>
      </c>
      <c r="BA183" s="609" t="str">
        <f t="shared" si="38"/>
        <v/>
      </c>
      <c r="BB183" s="609" t="str">
        <f t="shared" si="38"/>
        <v/>
      </c>
      <c r="BC183" s="609" t="str">
        <f t="shared" si="38"/>
        <v/>
      </c>
      <c r="BD183" s="609" t="str">
        <f t="shared" si="38"/>
        <v/>
      </c>
      <c r="BE183" s="609" t="str">
        <f t="shared" si="38"/>
        <v/>
      </c>
      <c r="BF183" s="609" t="str">
        <f t="shared" si="38"/>
        <v/>
      </c>
      <c r="BG183" s="609" t="str">
        <f t="shared" si="38"/>
        <v/>
      </c>
    </row>
    <row r="184" spans="2:59" x14ac:dyDescent="0.25">
      <c r="B184" s="654">
        <v>178</v>
      </c>
      <c r="C184" s="654"/>
      <c r="D184" s="654"/>
      <c r="E184" s="655"/>
      <c r="F184" s="654"/>
      <c r="H184" s="609" t="str">
        <f t="shared" si="28"/>
        <v/>
      </c>
      <c r="I184" s="609" t="str">
        <f t="shared" si="38"/>
        <v/>
      </c>
      <c r="J184" s="609" t="str">
        <f t="shared" si="38"/>
        <v/>
      </c>
      <c r="K184" s="609" t="str">
        <f t="shared" si="38"/>
        <v/>
      </c>
      <c r="L184" s="609" t="str">
        <f t="shared" si="38"/>
        <v/>
      </c>
      <c r="M184" s="609" t="str">
        <f t="shared" si="38"/>
        <v/>
      </c>
      <c r="N184" s="609" t="str">
        <f t="shared" si="38"/>
        <v/>
      </c>
      <c r="O184" s="609" t="str">
        <f t="shared" si="38"/>
        <v/>
      </c>
      <c r="P184" s="609" t="str">
        <f t="shared" si="38"/>
        <v/>
      </c>
      <c r="Q184" s="609" t="str">
        <f t="shared" si="38"/>
        <v/>
      </c>
      <c r="R184" s="609" t="str">
        <f t="shared" si="38"/>
        <v/>
      </c>
      <c r="S184" s="609" t="str">
        <f t="shared" si="38"/>
        <v/>
      </c>
      <c r="T184" s="609" t="str">
        <f t="shared" si="38"/>
        <v/>
      </c>
      <c r="U184" s="609" t="str">
        <f t="shared" si="38"/>
        <v/>
      </c>
      <c r="V184" s="609" t="str">
        <f t="shared" si="38"/>
        <v/>
      </c>
      <c r="W184" s="609" t="str">
        <f t="shared" si="38"/>
        <v/>
      </c>
      <c r="X184" s="609" t="str">
        <f t="shared" si="38"/>
        <v/>
      </c>
      <c r="Y184" s="609" t="str">
        <f t="shared" si="38"/>
        <v/>
      </c>
      <c r="Z184" s="609" t="str">
        <f t="shared" si="38"/>
        <v/>
      </c>
      <c r="AA184" s="609" t="str">
        <f t="shared" si="38"/>
        <v/>
      </c>
      <c r="AB184" s="609" t="str">
        <f t="shared" si="38"/>
        <v/>
      </c>
      <c r="AC184" s="609" t="str">
        <f t="shared" si="38"/>
        <v/>
      </c>
      <c r="AD184" s="609" t="str">
        <f t="shared" si="38"/>
        <v/>
      </c>
      <c r="AE184" s="609" t="str">
        <f t="shared" si="38"/>
        <v/>
      </c>
      <c r="AF184" s="609" t="str">
        <f t="shared" si="38"/>
        <v/>
      </c>
      <c r="AG184" s="609" t="str">
        <f t="shared" si="38"/>
        <v/>
      </c>
      <c r="AH184" s="609" t="str">
        <f t="shared" si="38"/>
        <v/>
      </c>
      <c r="AI184" s="609" t="str">
        <f t="shared" si="38"/>
        <v/>
      </c>
      <c r="AJ184" s="609" t="str">
        <f t="shared" si="38"/>
        <v/>
      </c>
      <c r="AK184" s="609" t="str">
        <f t="shared" si="38"/>
        <v/>
      </c>
      <c r="AL184" s="609" t="str">
        <f t="shared" si="38"/>
        <v/>
      </c>
      <c r="AM184" s="609" t="str">
        <f t="shared" si="38"/>
        <v/>
      </c>
      <c r="AN184" s="609" t="str">
        <f t="shared" si="38"/>
        <v/>
      </c>
      <c r="AO184" s="609" t="str">
        <f t="shared" si="38"/>
        <v/>
      </c>
      <c r="AP184" s="609" t="str">
        <f t="shared" si="38"/>
        <v/>
      </c>
      <c r="AQ184" s="609" t="str">
        <f t="shared" si="38"/>
        <v/>
      </c>
      <c r="AR184" s="609" t="str">
        <f t="shared" si="38"/>
        <v/>
      </c>
      <c r="AS184" s="609" t="str">
        <f t="shared" si="38"/>
        <v/>
      </c>
      <c r="AT184" s="609" t="str">
        <f t="shared" si="38"/>
        <v/>
      </c>
      <c r="AU184" s="609" t="str">
        <f t="shared" si="38"/>
        <v/>
      </c>
      <c r="AV184" s="609" t="str">
        <f t="shared" si="38"/>
        <v/>
      </c>
      <c r="AW184" s="609" t="str">
        <f t="shared" si="38"/>
        <v/>
      </c>
      <c r="AX184" s="609" t="str">
        <f t="shared" si="38"/>
        <v/>
      </c>
      <c r="AY184" s="609" t="str">
        <f t="shared" si="38"/>
        <v/>
      </c>
      <c r="AZ184" s="609" t="str">
        <f t="shared" si="38"/>
        <v/>
      </c>
      <c r="BA184" s="609" t="str">
        <f t="shared" si="38"/>
        <v/>
      </c>
      <c r="BB184" s="609" t="str">
        <f t="shared" si="38"/>
        <v/>
      </c>
      <c r="BC184" s="609" t="str">
        <f t="shared" si="38"/>
        <v/>
      </c>
      <c r="BD184" s="609" t="str">
        <f t="shared" si="38"/>
        <v/>
      </c>
      <c r="BE184" s="609" t="str">
        <f t="shared" si="38"/>
        <v/>
      </c>
      <c r="BF184" s="609" t="str">
        <f t="shared" si="38"/>
        <v/>
      </c>
      <c r="BG184" s="609" t="str">
        <f t="shared" si="38"/>
        <v/>
      </c>
    </row>
    <row r="185" spans="2:59" x14ac:dyDescent="0.25">
      <c r="B185" s="654">
        <v>179</v>
      </c>
      <c r="C185" s="654"/>
      <c r="D185" s="654"/>
      <c r="E185" s="655"/>
      <c r="F185" s="654"/>
      <c r="H185" s="609" t="str">
        <f t="shared" si="28"/>
        <v/>
      </c>
      <c r="I185" s="609" t="str">
        <f t="shared" si="38"/>
        <v/>
      </c>
      <c r="J185" s="609" t="str">
        <f t="shared" si="38"/>
        <v/>
      </c>
      <c r="K185" s="609" t="str">
        <f t="shared" si="38"/>
        <v/>
      </c>
      <c r="L185" s="609" t="str">
        <f t="shared" si="38"/>
        <v/>
      </c>
      <c r="M185" s="609" t="str">
        <f t="shared" si="38"/>
        <v/>
      </c>
      <c r="N185" s="609" t="str">
        <f t="shared" si="38"/>
        <v/>
      </c>
      <c r="O185" s="609" t="str">
        <f t="shared" si="38"/>
        <v/>
      </c>
      <c r="P185" s="609" t="str">
        <f t="shared" si="38"/>
        <v/>
      </c>
      <c r="Q185" s="609" t="str">
        <f t="shared" si="38"/>
        <v/>
      </c>
      <c r="R185" s="609" t="str">
        <f t="shared" si="38"/>
        <v/>
      </c>
      <c r="S185" s="609" t="str">
        <f t="shared" si="38"/>
        <v/>
      </c>
      <c r="T185" s="609" t="str">
        <f t="shared" si="38"/>
        <v/>
      </c>
      <c r="U185" s="609" t="str">
        <f t="shared" si="38"/>
        <v/>
      </c>
      <c r="V185" s="609" t="str">
        <f t="shared" si="38"/>
        <v/>
      </c>
      <c r="W185" s="609" t="str">
        <f t="shared" si="38"/>
        <v/>
      </c>
      <c r="X185" s="609" t="str">
        <f t="shared" si="38"/>
        <v/>
      </c>
      <c r="Y185" s="609" t="str">
        <f t="shared" si="38"/>
        <v/>
      </c>
      <c r="Z185" s="609" t="str">
        <f t="shared" si="38"/>
        <v/>
      </c>
      <c r="AA185" s="609" t="str">
        <f t="shared" si="38"/>
        <v/>
      </c>
      <c r="AB185" s="609" t="str">
        <f t="shared" si="38"/>
        <v/>
      </c>
      <c r="AC185" s="609" t="str">
        <f t="shared" si="38"/>
        <v/>
      </c>
      <c r="AD185" s="609" t="str">
        <f t="shared" si="38"/>
        <v/>
      </c>
      <c r="AE185" s="609" t="str">
        <f t="shared" si="38"/>
        <v/>
      </c>
      <c r="AF185" s="609" t="str">
        <f t="shared" si="38"/>
        <v/>
      </c>
      <c r="AG185" s="609" t="str">
        <f t="shared" si="38"/>
        <v/>
      </c>
      <c r="AH185" s="609" t="str">
        <f t="shared" si="38"/>
        <v/>
      </c>
      <c r="AI185" s="609" t="str">
        <f t="shared" si="38"/>
        <v/>
      </c>
      <c r="AJ185" s="609" t="str">
        <f t="shared" si="38"/>
        <v/>
      </c>
      <c r="AK185" s="609" t="str">
        <f t="shared" si="38"/>
        <v/>
      </c>
      <c r="AL185" s="609" t="str">
        <f t="shared" si="38"/>
        <v/>
      </c>
      <c r="AM185" s="609" t="str">
        <f t="shared" si="38"/>
        <v/>
      </c>
      <c r="AN185" s="609" t="str">
        <f t="shared" si="38"/>
        <v/>
      </c>
      <c r="AO185" s="609" t="str">
        <f t="shared" si="38"/>
        <v/>
      </c>
      <c r="AP185" s="609" t="str">
        <f t="shared" si="38"/>
        <v/>
      </c>
      <c r="AQ185" s="609" t="str">
        <f t="shared" si="38"/>
        <v/>
      </c>
      <c r="AR185" s="609" t="str">
        <f t="shared" si="38"/>
        <v/>
      </c>
      <c r="AS185" s="609" t="str">
        <f t="shared" si="38"/>
        <v/>
      </c>
      <c r="AT185" s="609" t="str">
        <f t="shared" si="38"/>
        <v/>
      </c>
      <c r="AU185" s="609" t="str">
        <f t="shared" si="38"/>
        <v/>
      </c>
      <c r="AV185" s="609" t="str">
        <f t="shared" si="38"/>
        <v/>
      </c>
      <c r="AW185" s="609" t="str">
        <f t="shared" si="38"/>
        <v/>
      </c>
      <c r="AX185" s="609" t="str">
        <f t="shared" si="38"/>
        <v/>
      </c>
      <c r="AY185" s="609" t="str">
        <f t="shared" si="38"/>
        <v/>
      </c>
      <c r="AZ185" s="609" t="str">
        <f t="shared" si="38"/>
        <v/>
      </c>
      <c r="BA185" s="609" t="str">
        <f t="shared" si="38"/>
        <v/>
      </c>
      <c r="BB185" s="609" t="str">
        <f t="shared" si="38"/>
        <v/>
      </c>
      <c r="BC185" s="609" t="str">
        <f t="shared" si="38"/>
        <v/>
      </c>
      <c r="BD185" s="609" t="str">
        <f t="shared" si="38"/>
        <v/>
      </c>
      <c r="BE185" s="609" t="str">
        <f t="shared" si="38"/>
        <v/>
      </c>
      <c r="BF185" s="609" t="str">
        <f t="shared" si="38"/>
        <v/>
      </c>
      <c r="BG185" s="609" t="str">
        <f t="shared" si="38"/>
        <v/>
      </c>
    </row>
    <row r="186" spans="2:59" x14ac:dyDescent="0.25">
      <c r="B186" s="654">
        <v>180</v>
      </c>
      <c r="C186" s="654"/>
      <c r="D186" s="654"/>
      <c r="E186" s="655"/>
      <c r="F186" s="654"/>
      <c r="H186" s="609" t="str">
        <f t="shared" si="28"/>
        <v/>
      </c>
      <c r="I186" s="609" t="str">
        <f t="shared" si="38"/>
        <v/>
      </c>
      <c r="J186" s="609" t="str">
        <f t="shared" si="38"/>
        <v/>
      </c>
      <c r="K186" s="609" t="str">
        <f t="shared" si="38"/>
        <v/>
      </c>
      <c r="L186" s="609" t="str">
        <f t="shared" si="38"/>
        <v/>
      </c>
      <c r="M186" s="609" t="str">
        <f t="shared" si="38"/>
        <v/>
      </c>
      <c r="N186" s="609" t="str">
        <f t="shared" si="38"/>
        <v/>
      </c>
      <c r="O186" s="609" t="str">
        <f t="shared" si="38"/>
        <v/>
      </c>
      <c r="P186" s="609" t="str">
        <f t="shared" si="38"/>
        <v/>
      </c>
      <c r="Q186" s="609" t="str">
        <f t="shared" si="38"/>
        <v/>
      </c>
      <c r="R186" s="609" t="str">
        <f t="shared" si="38"/>
        <v/>
      </c>
      <c r="S186" s="609" t="str">
        <f t="shared" si="38"/>
        <v/>
      </c>
      <c r="T186" s="609" t="str">
        <f t="shared" si="38"/>
        <v/>
      </c>
      <c r="U186" s="609" t="str">
        <f t="shared" si="38"/>
        <v/>
      </c>
      <c r="V186" s="609" t="str">
        <f t="shared" si="38"/>
        <v/>
      </c>
      <c r="W186" s="609" t="str">
        <f t="shared" si="38"/>
        <v/>
      </c>
      <c r="X186" s="609" t="str">
        <f t="shared" si="38"/>
        <v/>
      </c>
      <c r="Y186" s="609" t="str">
        <f t="shared" si="38"/>
        <v/>
      </c>
      <c r="Z186" s="609" t="str">
        <f t="shared" si="38"/>
        <v/>
      </c>
      <c r="AA186" s="609" t="str">
        <f t="shared" si="38"/>
        <v/>
      </c>
      <c r="AB186" s="609" t="str">
        <f t="shared" si="38"/>
        <v/>
      </c>
      <c r="AC186" s="609" t="str">
        <f t="shared" si="38"/>
        <v/>
      </c>
      <c r="AD186" s="609" t="str">
        <f t="shared" si="38"/>
        <v/>
      </c>
      <c r="AE186" s="609" t="str">
        <f t="shared" si="38"/>
        <v/>
      </c>
      <c r="AF186" s="609" t="str">
        <f t="shared" si="38"/>
        <v/>
      </c>
      <c r="AG186" s="609" t="str">
        <f t="shared" si="38"/>
        <v/>
      </c>
      <c r="AH186" s="609" t="str">
        <f t="shared" si="38"/>
        <v/>
      </c>
      <c r="AI186" s="609" t="str">
        <f t="shared" si="38"/>
        <v/>
      </c>
      <c r="AJ186" s="609" t="str">
        <f t="shared" si="38"/>
        <v/>
      </c>
      <c r="AK186" s="609" t="str">
        <f t="shared" si="38"/>
        <v/>
      </c>
      <c r="AL186" s="609" t="str">
        <f t="shared" si="38"/>
        <v/>
      </c>
      <c r="AM186" s="609" t="str">
        <f t="shared" si="38"/>
        <v/>
      </c>
      <c r="AN186" s="609" t="str">
        <f t="shared" si="38"/>
        <v/>
      </c>
      <c r="AO186" s="609" t="str">
        <f t="shared" si="38"/>
        <v/>
      </c>
      <c r="AP186" s="609" t="str">
        <f t="shared" si="38"/>
        <v/>
      </c>
      <c r="AQ186" s="609" t="str">
        <f t="shared" si="38"/>
        <v/>
      </c>
      <c r="AR186" s="609" t="str">
        <f t="shared" si="38"/>
        <v/>
      </c>
      <c r="AS186" s="609" t="str">
        <f t="shared" si="38"/>
        <v/>
      </c>
      <c r="AT186" s="609" t="str">
        <f t="shared" si="38"/>
        <v/>
      </c>
      <c r="AU186" s="609" t="str">
        <f t="shared" si="38"/>
        <v/>
      </c>
      <c r="AV186" s="609" t="str">
        <f t="shared" si="38"/>
        <v/>
      </c>
      <c r="AW186" s="609" t="str">
        <f t="shared" si="38"/>
        <v/>
      </c>
      <c r="AX186" s="609" t="str">
        <f t="shared" si="38"/>
        <v/>
      </c>
      <c r="AY186" s="609" t="str">
        <f t="shared" si="38"/>
        <v/>
      </c>
      <c r="AZ186" s="609" t="str">
        <f t="shared" si="38"/>
        <v/>
      </c>
      <c r="BA186" s="609" t="str">
        <f t="shared" si="38"/>
        <v/>
      </c>
      <c r="BB186" s="609" t="str">
        <f t="shared" si="38"/>
        <v/>
      </c>
      <c r="BC186" s="609" t="str">
        <f t="shared" si="38"/>
        <v/>
      </c>
      <c r="BD186" s="609" t="str">
        <f t="shared" si="38"/>
        <v/>
      </c>
      <c r="BE186" s="609" t="str">
        <f t="shared" si="38"/>
        <v/>
      </c>
      <c r="BF186" s="609" t="str">
        <f t="shared" si="38"/>
        <v/>
      </c>
      <c r="BG186" s="609" t="str">
        <f t="shared" si="38"/>
        <v/>
      </c>
    </row>
    <row r="187" spans="2:59" x14ac:dyDescent="0.25">
      <c r="B187" s="654">
        <v>181</v>
      </c>
      <c r="C187" s="654"/>
      <c r="D187" s="654"/>
      <c r="E187" s="655"/>
      <c r="F187" s="654"/>
      <c r="H187" s="609" t="str">
        <f t="shared" si="28"/>
        <v/>
      </c>
      <c r="I187" s="609" t="str">
        <f t="shared" si="38"/>
        <v/>
      </c>
      <c r="J187" s="609" t="str">
        <f t="shared" si="38"/>
        <v/>
      </c>
      <c r="K187" s="609" t="str">
        <f t="shared" si="38"/>
        <v/>
      </c>
      <c r="L187" s="609" t="str">
        <f t="shared" si="38"/>
        <v/>
      </c>
      <c r="M187" s="609" t="str">
        <f t="shared" si="38"/>
        <v/>
      </c>
      <c r="N187" s="609" t="str">
        <f t="shared" si="38"/>
        <v/>
      </c>
      <c r="O187" s="609" t="str">
        <f t="shared" si="38"/>
        <v/>
      </c>
      <c r="P187" s="609" t="str">
        <f t="shared" si="38"/>
        <v/>
      </c>
      <c r="Q187" s="609" t="str">
        <f t="shared" si="38"/>
        <v/>
      </c>
      <c r="R187" s="609" t="str">
        <f t="shared" si="38"/>
        <v/>
      </c>
      <c r="S187" s="609" t="str">
        <f t="shared" si="38"/>
        <v/>
      </c>
      <c r="T187" s="609" t="str">
        <f t="shared" si="38"/>
        <v/>
      </c>
      <c r="U187" s="609" t="str">
        <f t="shared" si="38"/>
        <v/>
      </c>
      <c r="V187" s="609" t="str">
        <f t="shared" si="38"/>
        <v/>
      </c>
      <c r="W187" s="609" t="str">
        <f t="shared" si="38"/>
        <v/>
      </c>
      <c r="X187" s="609" t="str">
        <f t="shared" si="38"/>
        <v/>
      </c>
      <c r="Y187" s="609" t="str">
        <f t="shared" si="38"/>
        <v/>
      </c>
      <c r="Z187" s="609" t="str">
        <f t="shared" si="38"/>
        <v/>
      </c>
      <c r="AA187" s="609" t="str">
        <f t="shared" si="38"/>
        <v/>
      </c>
      <c r="AB187" s="609" t="str">
        <f t="shared" si="38"/>
        <v/>
      </c>
      <c r="AC187" s="609" t="str">
        <f t="shared" si="38"/>
        <v/>
      </c>
      <c r="AD187" s="609" t="str">
        <f t="shared" si="38"/>
        <v/>
      </c>
      <c r="AE187" s="609" t="str">
        <f t="shared" si="38"/>
        <v/>
      </c>
      <c r="AF187" s="609" t="str">
        <f t="shared" si="38"/>
        <v/>
      </c>
      <c r="AG187" s="609" t="str">
        <f t="shared" si="38"/>
        <v/>
      </c>
      <c r="AH187" s="609" t="str">
        <f t="shared" si="38"/>
        <v/>
      </c>
      <c r="AI187" s="609" t="str">
        <f t="shared" si="38"/>
        <v/>
      </c>
      <c r="AJ187" s="609" t="str">
        <f t="shared" si="38"/>
        <v/>
      </c>
      <c r="AK187" s="609" t="str">
        <f t="shared" si="38"/>
        <v/>
      </c>
      <c r="AL187" s="609" t="str">
        <f t="shared" si="38"/>
        <v/>
      </c>
      <c r="AM187" s="609" t="str">
        <f t="shared" si="38"/>
        <v/>
      </c>
      <c r="AN187" s="609" t="str">
        <f t="shared" si="38"/>
        <v/>
      </c>
      <c r="AO187" s="609" t="str">
        <f t="shared" si="38"/>
        <v/>
      </c>
      <c r="AP187" s="609" t="str">
        <f t="shared" si="38"/>
        <v/>
      </c>
      <c r="AQ187" s="609" t="str">
        <f t="shared" si="38"/>
        <v/>
      </c>
      <c r="AR187" s="609" t="str">
        <f t="shared" si="38"/>
        <v/>
      </c>
      <c r="AS187" s="609" t="str">
        <f t="shared" si="38"/>
        <v/>
      </c>
      <c r="AT187" s="609" t="str">
        <f t="shared" si="38"/>
        <v/>
      </c>
      <c r="AU187" s="609" t="str">
        <f t="shared" si="38"/>
        <v/>
      </c>
      <c r="AV187" s="609" t="str">
        <f t="shared" si="38"/>
        <v/>
      </c>
      <c r="AW187" s="609" t="str">
        <f t="shared" si="38"/>
        <v/>
      </c>
      <c r="AX187" s="609" t="str">
        <f t="shared" si="38"/>
        <v/>
      </c>
      <c r="AY187" s="609" t="str">
        <f t="shared" si="38"/>
        <v/>
      </c>
      <c r="AZ187" s="609" t="str">
        <f t="shared" si="38"/>
        <v/>
      </c>
      <c r="BA187" s="609" t="str">
        <f t="shared" si="38"/>
        <v/>
      </c>
      <c r="BB187" s="609" t="str">
        <f t="shared" ref="I187:BG192" si="39">IF($D187=BB$6,$B187&amp;", ","")</f>
        <v/>
      </c>
      <c r="BC187" s="609" t="str">
        <f t="shared" si="39"/>
        <v/>
      </c>
      <c r="BD187" s="609" t="str">
        <f t="shared" si="39"/>
        <v/>
      </c>
      <c r="BE187" s="609" t="str">
        <f t="shared" si="39"/>
        <v/>
      </c>
      <c r="BF187" s="609" t="str">
        <f t="shared" si="39"/>
        <v/>
      </c>
      <c r="BG187" s="609" t="str">
        <f t="shared" si="39"/>
        <v/>
      </c>
    </row>
    <row r="188" spans="2:59" x14ac:dyDescent="0.25">
      <c r="B188" s="654">
        <v>182</v>
      </c>
      <c r="C188" s="654"/>
      <c r="D188" s="654"/>
      <c r="E188" s="655"/>
      <c r="F188" s="654"/>
      <c r="H188" s="609" t="str">
        <f t="shared" si="28"/>
        <v/>
      </c>
      <c r="I188" s="609" t="str">
        <f t="shared" si="39"/>
        <v/>
      </c>
      <c r="J188" s="609" t="str">
        <f t="shared" si="39"/>
        <v/>
      </c>
      <c r="K188" s="609" t="str">
        <f t="shared" si="39"/>
        <v/>
      </c>
      <c r="L188" s="609" t="str">
        <f t="shared" si="39"/>
        <v/>
      </c>
      <c r="M188" s="609" t="str">
        <f t="shared" si="39"/>
        <v/>
      </c>
      <c r="N188" s="609" t="str">
        <f t="shared" si="39"/>
        <v/>
      </c>
      <c r="O188" s="609" t="str">
        <f t="shared" si="39"/>
        <v/>
      </c>
      <c r="P188" s="609" t="str">
        <f t="shared" si="39"/>
        <v/>
      </c>
      <c r="Q188" s="609" t="str">
        <f t="shared" si="39"/>
        <v/>
      </c>
      <c r="R188" s="609" t="str">
        <f t="shared" si="39"/>
        <v/>
      </c>
      <c r="S188" s="609" t="str">
        <f t="shared" si="39"/>
        <v/>
      </c>
      <c r="T188" s="609" t="str">
        <f t="shared" si="39"/>
        <v/>
      </c>
      <c r="U188" s="609" t="str">
        <f t="shared" si="39"/>
        <v/>
      </c>
      <c r="V188" s="609" t="str">
        <f t="shared" si="39"/>
        <v/>
      </c>
      <c r="W188" s="609" t="str">
        <f t="shared" si="39"/>
        <v/>
      </c>
      <c r="X188" s="609" t="str">
        <f t="shared" si="39"/>
        <v/>
      </c>
      <c r="Y188" s="609" t="str">
        <f t="shared" si="39"/>
        <v/>
      </c>
      <c r="Z188" s="609" t="str">
        <f t="shared" si="39"/>
        <v/>
      </c>
      <c r="AA188" s="609" t="str">
        <f t="shared" si="39"/>
        <v/>
      </c>
      <c r="AB188" s="609" t="str">
        <f t="shared" si="39"/>
        <v/>
      </c>
      <c r="AC188" s="609" t="str">
        <f t="shared" si="39"/>
        <v/>
      </c>
      <c r="AD188" s="609" t="str">
        <f t="shared" si="39"/>
        <v/>
      </c>
      <c r="AE188" s="609" t="str">
        <f t="shared" si="39"/>
        <v/>
      </c>
      <c r="AF188" s="609" t="str">
        <f t="shared" si="39"/>
        <v/>
      </c>
      <c r="AG188" s="609" t="str">
        <f t="shared" si="39"/>
        <v/>
      </c>
      <c r="AH188" s="609" t="str">
        <f t="shared" si="39"/>
        <v/>
      </c>
      <c r="AI188" s="609" t="str">
        <f t="shared" si="39"/>
        <v/>
      </c>
      <c r="AJ188" s="609" t="str">
        <f t="shared" si="39"/>
        <v/>
      </c>
      <c r="AK188" s="609" t="str">
        <f t="shared" si="39"/>
        <v/>
      </c>
      <c r="AL188" s="609" t="str">
        <f t="shared" si="39"/>
        <v/>
      </c>
      <c r="AM188" s="609" t="str">
        <f t="shared" si="39"/>
        <v/>
      </c>
      <c r="AN188" s="609" t="str">
        <f t="shared" si="39"/>
        <v/>
      </c>
      <c r="AO188" s="609" t="str">
        <f t="shared" si="39"/>
        <v/>
      </c>
      <c r="AP188" s="609" t="str">
        <f t="shared" si="39"/>
        <v/>
      </c>
      <c r="AQ188" s="609" t="str">
        <f t="shared" si="39"/>
        <v/>
      </c>
      <c r="AR188" s="609" t="str">
        <f t="shared" si="39"/>
        <v/>
      </c>
      <c r="AS188" s="609" t="str">
        <f t="shared" si="39"/>
        <v/>
      </c>
      <c r="AT188" s="609" t="str">
        <f t="shared" si="39"/>
        <v/>
      </c>
      <c r="AU188" s="609" t="str">
        <f t="shared" si="39"/>
        <v/>
      </c>
      <c r="AV188" s="609" t="str">
        <f t="shared" si="39"/>
        <v/>
      </c>
      <c r="AW188" s="609" t="str">
        <f t="shared" si="39"/>
        <v/>
      </c>
      <c r="AX188" s="609" t="str">
        <f t="shared" si="39"/>
        <v/>
      </c>
      <c r="AY188" s="609" t="str">
        <f t="shared" si="39"/>
        <v/>
      </c>
      <c r="AZ188" s="609" t="str">
        <f t="shared" si="39"/>
        <v/>
      </c>
      <c r="BA188" s="609" t="str">
        <f t="shared" si="39"/>
        <v/>
      </c>
      <c r="BB188" s="609" t="str">
        <f t="shared" si="39"/>
        <v/>
      </c>
      <c r="BC188" s="609" t="str">
        <f t="shared" si="39"/>
        <v/>
      </c>
      <c r="BD188" s="609" t="str">
        <f t="shared" si="39"/>
        <v/>
      </c>
      <c r="BE188" s="609" t="str">
        <f t="shared" si="39"/>
        <v/>
      </c>
      <c r="BF188" s="609" t="str">
        <f t="shared" si="39"/>
        <v/>
      </c>
      <c r="BG188" s="609" t="str">
        <f t="shared" si="39"/>
        <v/>
      </c>
    </row>
    <row r="189" spans="2:59" x14ac:dyDescent="0.25">
      <c r="B189" s="654">
        <v>183</v>
      </c>
      <c r="C189" s="654"/>
      <c r="D189" s="654"/>
      <c r="E189" s="655"/>
      <c r="F189" s="654"/>
      <c r="H189" s="609" t="str">
        <f t="shared" si="28"/>
        <v/>
      </c>
      <c r="I189" s="609" t="str">
        <f t="shared" si="39"/>
        <v/>
      </c>
      <c r="J189" s="609" t="str">
        <f t="shared" si="39"/>
        <v/>
      </c>
      <c r="K189" s="609" t="str">
        <f t="shared" si="39"/>
        <v/>
      </c>
      <c r="L189" s="609" t="str">
        <f t="shared" si="39"/>
        <v/>
      </c>
      <c r="M189" s="609" t="str">
        <f t="shared" si="39"/>
        <v/>
      </c>
      <c r="N189" s="609" t="str">
        <f t="shared" si="39"/>
        <v/>
      </c>
      <c r="O189" s="609" t="str">
        <f t="shared" si="39"/>
        <v/>
      </c>
      <c r="P189" s="609" t="str">
        <f t="shared" si="39"/>
        <v/>
      </c>
      <c r="Q189" s="609" t="str">
        <f t="shared" si="39"/>
        <v/>
      </c>
      <c r="R189" s="609" t="str">
        <f t="shared" si="39"/>
        <v/>
      </c>
      <c r="S189" s="609" t="str">
        <f t="shared" si="39"/>
        <v/>
      </c>
      <c r="T189" s="609" t="str">
        <f t="shared" si="39"/>
        <v/>
      </c>
      <c r="U189" s="609" t="str">
        <f t="shared" si="39"/>
        <v/>
      </c>
      <c r="V189" s="609" t="str">
        <f t="shared" si="39"/>
        <v/>
      </c>
      <c r="W189" s="609" t="str">
        <f t="shared" si="39"/>
        <v/>
      </c>
      <c r="X189" s="609" t="str">
        <f t="shared" si="39"/>
        <v/>
      </c>
      <c r="Y189" s="609" t="str">
        <f t="shared" si="39"/>
        <v/>
      </c>
      <c r="Z189" s="609" t="str">
        <f t="shared" si="39"/>
        <v/>
      </c>
      <c r="AA189" s="609" t="str">
        <f t="shared" si="39"/>
        <v/>
      </c>
      <c r="AB189" s="609" t="str">
        <f t="shared" si="39"/>
        <v/>
      </c>
      <c r="AC189" s="609" t="str">
        <f t="shared" si="39"/>
        <v/>
      </c>
      <c r="AD189" s="609" t="str">
        <f t="shared" si="39"/>
        <v/>
      </c>
      <c r="AE189" s="609" t="str">
        <f t="shared" si="39"/>
        <v/>
      </c>
      <c r="AF189" s="609" t="str">
        <f t="shared" si="39"/>
        <v/>
      </c>
      <c r="AG189" s="609" t="str">
        <f t="shared" si="39"/>
        <v/>
      </c>
      <c r="AH189" s="609" t="str">
        <f t="shared" si="39"/>
        <v/>
      </c>
      <c r="AI189" s="609" t="str">
        <f t="shared" si="39"/>
        <v/>
      </c>
      <c r="AJ189" s="609" t="str">
        <f t="shared" si="39"/>
        <v/>
      </c>
      <c r="AK189" s="609" t="str">
        <f t="shared" si="39"/>
        <v/>
      </c>
      <c r="AL189" s="609" t="str">
        <f t="shared" si="39"/>
        <v/>
      </c>
      <c r="AM189" s="609" t="str">
        <f t="shared" si="39"/>
        <v/>
      </c>
      <c r="AN189" s="609" t="str">
        <f t="shared" si="39"/>
        <v/>
      </c>
      <c r="AO189" s="609" t="str">
        <f t="shared" si="39"/>
        <v/>
      </c>
      <c r="AP189" s="609" t="str">
        <f t="shared" si="39"/>
        <v/>
      </c>
      <c r="AQ189" s="609" t="str">
        <f t="shared" si="39"/>
        <v/>
      </c>
      <c r="AR189" s="609" t="str">
        <f t="shared" si="39"/>
        <v/>
      </c>
      <c r="AS189" s="609" t="str">
        <f t="shared" si="39"/>
        <v/>
      </c>
      <c r="AT189" s="609" t="str">
        <f t="shared" si="39"/>
        <v/>
      </c>
      <c r="AU189" s="609" t="str">
        <f t="shared" si="39"/>
        <v/>
      </c>
      <c r="AV189" s="609" t="str">
        <f t="shared" si="39"/>
        <v/>
      </c>
      <c r="AW189" s="609" t="str">
        <f t="shared" si="39"/>
        <v/>
      </c>
      <c r="AX189" s="609" t="str">
        <f t="shared" si="39"/>
        <v/>
      </c>
      <c r="AY189" s="609" t="str">
        <f t="shared" si="39"/>
        <v/>
      </c>
      <c r="AZ189" s="609" t="str">
        <f t="shared" si="39"/>
        <v/>
      </c>
      <c r="BA189" s="609" t="str">
        <f t="shared" si="39"/>
        <v/>
      </c>
      <c r="BB189" s="609" t="str">
        <f t="shared" si="39"/>
        <v/>
      </c>
      <c r="BC189" s="609" t="str">
        <f t="shared" si="39"/>
        <v/>
      </c>
      <c r="BD189" s="609" t="str">
        <f t="shared" si="39"/>
        <v/>
      </c>
      <c r="BE189" s="609" t="str">
        <f t="shared" si="39"/>
        <v/>
      </c>
      <c r="BF189" s="609" t="str">
        <f t="shared" si="39"/>
        <v/>
      </c>
      <c r="BG189" s="609" t="str">
        <f t="shared" si="39"/>
        <v/>
      </c>
    </row>
    <row r="190" spans="2:59" x14ac:dyDescent="0.25">
      <c r="B190" s="654">
        <v>184</v>
      </c>
      <c r="C190" s="654"/>
      <c r="D190" s="654"/>
      <c r="E190" s="655"/>
      <c r="F190" s="654"/>
      <c r="H190" s="609" t="str">
        <f t="shared" si="28"/>
        <v/>
      </c>
      <c r="I190" s="609" t="str">
        <f t="shared" si="39"/>
        <v/>
      </c>
      <c r="J190" s="609" t="str">
        <f t="shared" si="39"/>
        <v/>
      </c>
      <c r="K190" s="609" t="str">
        <f t="shared" si="39"/>
        <v/>
      </c>
      <c r="L190" s="609" t="str">
        <f t="shared" si="39"/>
        <v/>
      </c>
      <c r="M190" s="609" t="str">
        <f t="shared" si="39"/>
        <v/>
      </c>
      <c r="N190" s="609" t="str">
        <f t="shared" si="39"/>
        <v/>
      </c>
      <c r="O190" s="609" t="str">
        <f t="shared" si="39"/>
        <v/>
      </c>
      <c r="P190" s="609" t="str">
        <f t="shared" si="39"/>
        <v/>
      </c>
      <c r="Q190" s="609" t="str">
        <f t="shared" si="39"/>
        <v/>
      </c>
      <c r="R190" s="609" t="str">
        <f t="shared" si="39"/>
        <v/>
      </c>
      <c r="S190" s="609" t="str">
        <f t="shared" si="39"/>
        <v/>
      </c>
      <c r="T190" s="609" t="str">
        <f t="shared" si="39"/>
        <v/>
      </c>
      <c r="U190" s="609" t="str">
        <f t="shared" si="39"/>
        <v/>
      </c>
      <c r="V190" s="609" t="str">
        <f t="shared" si="39"/>
        <v/>
      </c>
      <c r="W190" s="609" t="str">
        <f t="shared" si="39"/>
        <v/>
      </c>
      <c r="X190" s="609" t="str">
        <f t="shared" si="39"/>
        <v/>
      </c>
      <c r="Y190" s="609" t="str">
        <f t="shared" si="39"/>
        <v/>
      </c>
      <c r="Z190" s="609" t="str">
        <f t="shared" si="39"/>
        <v/>
      </c>
      <c r="AA190" s="609" t="str">
        <f t="shared" si="39"/>
        <v/>
      </c>
      <c r="AB190" s="609" t="str">
        <f t="shared" si="39"/>
        <v/>
      </c>
      <c r="AC190" s="609" t="str">
        <f t="shared" si="39"/>
        <v/>
      </c>
      <c r="AD190" s="609" t="str">
        <f t="shared" si="39"/>
        <v/>
      </c>
      <c r="AE190" s="609" t="str">
        <f t="shared" si="39"/>
        <v/>
      </c>
      <c r="AF190" s="609" t="str">
        <f t="shared" si="39"/>
        <v/>
      </c>
      <c r="AG190" s="609" t="str">
        <f t="shared" si="39"/>
        <v/>
      </c>
      <c r="AH190" s="609" t="str">
        <f t="shared" si="39"/>
        <v/>
      </c>
      <c r="AI190" s="609" t="str">
        <f t="shared" si="39"/>
        <v/>
      </c>
      <c r="AJ190" s="609" t="str">
        <f t="shared" si="39"/>
        <v/>
      </c>
      <c r="AK190" s="609" t="str">
        <f t="shared" si="39"/>
        <v/>
      </c>
      <c r="AL190" s="609" t="str">
        <f t="shared" si="39"/>
        <v/>
      </c>
      <c r="AM190" s="609" t="str">
        <f t="shared" si="39"/>
        <v/>
      </c>
      <c r="AN190" s="609" t="str">
        <f t="shared" si="39"/>
        <v/>
      </c>
      <c r="AO190" s="609" t="str">
        <f t="shared" si="39"/>
        <v/>
      </c>
      <c r="AP190" s="609" t="str">
        <f t="shared" si="39"/>
        <v/>
      </c>
      <c r="AQ190" s="609" t="str">
        <f t="shared" si="39"/>
        <v/>
      </c>
      <c r="AR190" s="609" t="str">
        <f t="shared" si="39"/>
        <v/>
      </c>
      <c r="AS190" s="609" t="str">
        <f t="shared" si="39"/>
        <v/>
      </c>
      <c r="AT190" s="609" t="str">
        <f t="shared" si="39"/>
        <v/>
      </c>
      <c r="AU190" s="609" t="str">
        <f t="shared" si="39"/>
        <v/>
      </c>
      <c r="AV190" s="609" t="str">
        <f t="shared" si="39"/>
        <v/>
      </c>
      <c r="AW190" s="609" t="str">
        <f t="shared" si="39"/>
        <v/>
      </c>
      <c r="AX190" s="609" t="str">
        <f t="shared" si="39"/>
        <v/>
      </c>
      <c r="AY190" s="609" t="str">
        <f t="shared" si="39"/>
        <v/>
      </c>
      <c r="AZ190" s="609" t="str">
        <f t="shared" si="39"/>
        <v/>
      </c>
      <c r="BA190" s="609" t="str">
        <f t="shared" si="39"/>
        <v/>
      </c>
      <c r="BB190" s="609" t="str">
        <f t="shared" si="39"/>
        <v/>
      </c>
      <c r="BC190" s="609" t="str">
        <f t="shared" si="39"/>
        <v/>
      </c>
      <c r="BD190" s="609" t="str">
        <f t="shared" si="39"/>
        <v/>
      </c>
      <c r="BE190" s="609" t="str">
        <f t="shared" si="39"/>
        <v/>
      </c>
      <c r="BF190" s="609" t="str">
        <f t="shared" si="39"/>
        <v/>
      </c>
      <c r="BG190" s="609" t="str">
        <f t="shared" si="39"/>
        <v/>
      </c>
    </row>
    <row r="191" spans="2:59" x14ac:dyDescent="0.25">
      <c r="B191" s="654">
        <v>185</v>
      </c>
      <c r="C191" s="654"/>
      <c r="D191" s="654"/>
      <c r="E191" s="655"/>
      <c r="F191" s="654"/>
      <c r="H191" s="609" t="str">
        <f t="shared" si="28"/>
        <v/>
      </c>
      <c r="I191" s="609" t="str">
        <f t="shared" si="39"/>
        <v/>
      </c>
      <c r="J191" s="609" t="str">
        <f t="shared" si="39"/>
        <v/>
      </c>
      <c r="K191" s="609" t="str">
        <f t="shared" si="39"/>
        <v/>
      </c>
      <c r="L191" s="609" t="str">
        <f t="shared" si="39"/>
        <v/>
      </c>
      <c r="M191" s="609" t="str">
        <f t="shared" si="39"/>
        <v/>
      </c>
      <c r="N191" s="609" t="str">
        <f t="shared" si="39"/>
        <v/>
      </c>
      <c r="O191" s="609" t="str">
        <f t="shared" si="39"/>
        <v/>
      </c>
      <c r="P191" s="609" t="str">
        <f t="shared" si="39"/>
        <v/>
      </c>
      <c r="Q191" s="609" t="str">
        <f t="shared" si="39"/>
        <v/>
      </c>
      <c r="R191" s="609" t="str">
        <f t="shared" si="39"/>
        <v/>
      </c>
      <c r="S191" s="609" t="str">
        <f t="shared" si="39"/>
        <v/>
      </c>
      <c r="T191" s="609" t="str">
        <f t="shared" si="39"/>
        <v/>
      </c>
      <c r="U191" s="609" t="str">
        <f t="shared" si="39"/>
        <v/>
      </c>
      <c r="V191" s="609" t="str">
        <f t="shared" si="39"/>
        <v/>
      </c>
      <c r="W191" s="609" t="str">
        <f t="shared" si="39"/>
        <v/>
      </c>
      <c r="X191" s="609" t="str">
        <f t="shared" si="39"/>
        <v/>
      </c>
      <c r="Y191" s="609" t="str">
        <f t="shared" si="39"/>
        <v/>
      </c>
      <c r="Z191" s="609" t="str">
        <f t="shared" si="39"/>
        <v/>
      </c>
      <c r="AA191" s="609" t="str">
        <f t="shared" si="39"/>
        <v/>
      </c>
      <c r="AB191" s="609" t="str">
        <f t="shared" si="39"/>
        <v/>
      </c>
      <c r="AC191" s="609" t="str">
        <f t="shared" si="39"/>
        <v/>
      </c>
      <c r="AD191" s="609" t="str">
        <f t="shared" si="39"/>
        <v/>
      </c>
      <c r="AE191" s="609" t="str">
        <f t="shared" si="39"/>
        <v/>
      </c>
      <c r="AF191" s="609" t="str">
        <f t="shared" si="39"/>
        <v/>
      </c>
      <c r="AG191" s="609" t="str">
        <f t="shared" si="39"/>
        <v/>
      </c>
      <c r="AH191" s="609" t="str">
        <f t="shared" si="39"/>
        <v/>
      </c>
      <c r="AI191" s="609" t="str">
        <f t="shared" si="39"/>
        <v/>
      </c>
      <c r="AJ191" s="609" t="str">
        <f t="shared" si="39"/>
        <v/>
      </c>
      <c r="AK191" s="609" t="str">
        <f t="shared" si="39"/>
        <v/>
      </c>
      <c r="AL191" s="609" t="str">
        <f t="shared" si="39"/>
        <v/>
      </c>
      <c r="AM191" s="609" t="str">
        <f t="shared" si="39"/>
        <v/>
      </c>
      <c r="AN191" s="609" t="str">
        <f t="shared" si="39"/>
        <v/>
      </c>
      <c r="AO191" s="609" t="str">
        <f t="shared" si="39"/>
        <v/>
      </c>
      <c r="AP191" s="609" t="str">
        <f t="shared" si="39"/>
        <v/>
      </c>
      <c r="AQ191" s="609" t="str">
        <f t="shared" si="39"/>
        <v/>
      </c>
      <c r="AR191" s="609" t="str">
        <f t="shared" si="39"/>
        <v/>
      </c>
      <c r="AS191" s="609" t="str">
        <f t="shared" si="39"/>
        <v/>
      </c>
      <c r="AT191" s="609" t="str">
        <f t="shared" si="39"/>
        <v/>
      </c>
      <c r="AU191" s="609" t="str">
        <f t="shared" si="39"/>
        <v/>
      </c>
      <c r="AV191" s="609" t="str">
        <f t="shared" si="39"/>
        <v/>
      </c>
      <c r="AW191" s="609" t="str">
        <f t="shared" si="39"/>
        <v/>
      </c>
      <c r="AX191" s="609" t="str">
        <f t="shared" si="39"/>
        <v/>
      </c>
      <c r="AY191" s="609" t="str">
        <f t="shared" si="39"/>
        <v/>
      </c>
      <c r="AZ191" s="609" t="str">
        <f t="shared" si="39"/>
        <v/>
      </c>
      <c r="BA191" s="609" t="str">
        <f t="shared" si="39"/>
        <v/>
      </c>
      <c r="BB191" s="609" t="str">
        <f t="shared" si="39"/>
        <v/>
      </c>
      <c r="BC191" s="609" t="str">
        <f t="shared" si="39"/>
        <v/>
      </c>
      <c r="BD191" s="609" t="str">
        <f t="shared" si="39"/>
        <v/>
      </c>
      <c r="BE191" s="609" t="str">
        <f t="shared" si="39"/>
        <v/>
      </c>
      <c r="BF191" s="609" t="str">
        <f t="shared" si="39"/>
        <v/>
      </c>
      <c r="BG191" s="609" t="str">
        <f t="shared" si="39"/>
        <v/>
      </c>
    </row>
    <row r="192" spans="2:59" x14ac:dyDescent="0.25">
      <c r="B192" s="654">
        <v>186</v>
      </c>
      <c r="C192" s="654"/>
      <c r="D192" s="654"/>
      <c r="E192" s="655"/>
      <c r="F192" s="654"/>
      <c r="H192" s="609" t="str">
        <f t="shared" si="28"/>
        <v/>
      </c>
      <c r="I192" s="609" t="str">
        <f t="shared" si="39"/>
        <v/>
      </c>
      <c r="J192" s="609" t="str">
        <f t="shared" si="39"/>
        <v/>
      </c>
      <c r="K192" s="609" t="str">
        <f t="shared" si="39"/>
        <v/>
      </c>
      <c r="L192" s="609" t="str">
        <f t="shared" si="39"/>
        <v/>
      </c>
      <c r="M192" s="609" t="str">
        <f t="shared" si="39"/>
        <v/>
      </c>
      <c r="N192" s="609" t="str">
        <f t="shared" si="39"/>
        <v/>
      </c>
      <c r="O192" s="609" t="str">
        <f t="shared" si="39"/>
        <v/>
      </c>
      <c r="P192" s="609" t="str">
        <f t="shared" si="39"/>
        <v/>
      </c>
      <c r="Q192" s="609" t="str">
        <f t="shared" si="39"/>
        <v/>
      </c>
      <c r="R192" s="609" t="str">
        <f t="shared" si="39"/>
        <v/>
      </c>
      <c r="S192" s="609" t="str">
        <f t="shared" si="39"/>
        <v/>
      </c>
      <c r="T192" s="609" t="str">
        <f t="shared" si="39"/>
        <v/>
      </c>
      <c r="U192" s="609" t="str">
        <f t="shared" si="39"/>
        <v/>
      </c>
      <c r="V192" s="609" t="str">
        <f t="shared" si="39"/>
        <v/>
      </c>
      <c r="W192" s="609" t="str">
        <f t="shared" si="39"/>
        <v/>
      </c>
      <c r="X192" s="609" t="str">
        <f t="shared" si="39"/>
        <v/>
      </c>
      <c r="Y192" s="609" t="str">
        <f t="shared" si="39"/>
        <v/>
      </c>
      <c r="Z192" s="609" t="str">
        <f t="shared" si="39"/>
        <v/>
      </c>
      <c r="AA192" s="609" t="str">
        <f t="shared" si="39"/>
        <v/>
      </c>
      <c r="AB192" s="609" t="str">
        <f t="shared" si="39"/>
        <v/>
      </c>
      <c r="AC192" s="609" t="str">
        <f t="shared" si="39"/>
        <v/>
      </c>
      <c r="AD192" s="609" t="str">
        <f t="shared" si="39"/>
        <v/>
      </c>
      <c r="AE192" s="609" t="str">
        <f t="shared" si="39"/>
        <v/>
      </c>
      <c r="AF192" s="609" t="str">
        <f t="shared" si="39"/>
        <v/>
      </c>
      <c r="AG192" s="609" t="str">
        <f t="shared" si="39"/>
        <v/>
      </c>
      <c r="AH192" s="609" t="str">
        <f t="shared" si="39"/>
        <v/>
      </c>
      <c r="AI192" s="609" t="str">
        <f t="shared" si="39"/>
        <v/>
      </c>
      <c r="AJ192" s="609" t="str">
        <f t="shared" si="39"/>
        <v/>
      </c>
      <c r="AK192" s="609" t="str">
        <f t="shared" si="39"/>
        <v/>
      </c>
      <c r="AL192" s="609" t="str">
        <f t="shared" si="39"/>
        <v/>
      </c>
      <c r="AM192" s="609" t="str">
        <f t="shared" si="39"/>
        <v/>
      </c>
      <c r="AN192" s="609" t="str">
        <f t="shared" si="39"/>
        <v/>
      </c>
      <c r="AO192" s="609" t="str">
        <f t="shared" si="39"/>
        <v/>
      </c>
      <c r="AP192" s="609" t="str">
        <f t="shared" si="39"/>
        <v/>
      </c>
      <c r="AQ192" s="609" t="str">
        <f t="shared" si="39"/>
        <v/>
      </c>
      <c r="AR192" s="609" t="str">
        <f t="shared" si="39"/>
        <v/>
      </c>
      <c r="AS192" s="609" t="str">
        <f t="shared" si="39"/>
        <v/>
      </c>
      <c r="AT192" s="609" t="str">
        <f t="shared" si="39"/>
        <v/>
      </c>
      <c r="AU192" s="609" t="str">
        <f t="shared" si="39"/>
        <v/>
      </c>
      <c r="AV192" s="609" t="str">
        <f t="shared" si="39"/>
        <v/>
      </c>
      <c r="AW192" s="609" t="str">
        <f t="shared" si="39"/>
        <v/>
      </c>
      <c r="AX192" s="609" t="str">
        <f t="shared" si="39"/>
        <v/>
      </c>
      <c r="AY192" s="609" t="str">
        <f t="shared" si="39"/>
        <v/>
      </c>
      <c r="AZ192" s="609" t="str">
        <f t="shared" si="39"/>
        <v/>
      </c>
      <c r="BA192" s="609" t="str">
        <f t="shared" si="39"/>
        <v/>
      </c>
      <c r="BB192" s="609" t="str">
        <f t="shared" ref="I192:BG197" si="40">IF($D192=BB$6,$B192&amp;", ","")</f>
        <v/>
      </c>
      <c r="BC192" s="609" t="str">
        <f t="shared" si="40"/>
        <v/>
      </c>
      <c r="BD192" s="609" t="str">
        <f t="shared" si="40"/>
        <v/>
      </c>
      <c r="BE192" s="609" t="str">
        <f t="shared" si="40"/>
        <v/>
      </c>
      <c r="BF192" s="609" t="str">
        <f t="shared" si="40"/>
        <v/>
      </c>
      <c r="BG192" s="609" t="str">
        <f t="shared" si="40"/>
        <v/>
      </c>
    </row>
    <row r="193" spans="2:59" x14ac:dyDescent="0.25">
      <c r="B193" s="654">
        <v>187</v>
      </c>
      <c r="C193" s="654"/>
      <c r="D193" s="654"/>
      <c r="E193" s="655"/>
      <c r="F193" s="654"/>
      <c r="H193" s="609" t="str">
        <f t="shared" si="28"/>
        <v/>
      </c>
      <c r="I193" s="609" t="str">
        <f t="shared" si="40"/>
        <v/>
      </c>
      <c r="J193" s="609" t="str">
        <f t="shared" si="40"/>
        <v/>
      </c>
      <c r="K193" s="609" t="str">
        <f t="shared" si="40"/>
        <v/>
      </c>
      <c r="L193" s="609" t="str">
        <f t="shared" si="40"/>
        <v/>
      </c>
      <c r="M193" s="609" t="str">
        <f t="shared" si="40"/>
        <v/>
      </c>
      <c r="N193" s="609" t="str">
        <f t="shared" si="40"/>
        <v/>
      </c>
      <c r="O193" s="609" t="str">
        <f t="shared" si="40"/>
        <v/>
      </c>
      <c r="P193" s="609" t="str">
        <f t="shared" si="40"/>
        <v/>
      </c>
      <c r="Q193" s="609" t="str">
        <f t="shared" si="40"/>
        <v/>
      </c>
      <c r="R193" s="609" t="str">
        <f t="shared" si="40"/>
        <v/>
      </c>
      <c r="S193" s="609" t="str">
        <f t="shared" si="40"/>
        <v/>
      </c>
      <c r="T193" s="609" t="str">
        <f t="shared" si="40"/>
        <v/>
      </c>
      <c r="U193" s="609" t="str">
        <f t="shared" si="40"/>
        <v/>
      </c>
      <c r="V193" s="609" t="str">
        <f t="shared" si="40"/>
        <v/>
      </c>
      <c r="W193" s="609" t="str">
        <f t="shared" si="40"/>
        <v/>
      </c>
      <c r="X193" s="609" t="str">
        <f t="shared" si="40"/>
        <v/>
      </c>
      <c r="Y193" s="609" t="str">
        <f t="shared" si="40"/>
        <v/>
      </c>
      <c r="Z193" s="609" t="str">
        <f t="shared" si="40"/>
        <v/>
      </c>
      <c r="AA193" s="609" t="str">
        <f t="shared" si="40"/>
        <v/>
      </c>
      <c r="AB193" s="609" t="str">
        <f t="shared" si="40"/>
        <v/>
      </c>
      <c r="AC193" s="609" t="str">
        <f t="shared" si="40"/>
        <v/>
      </c>
      <c r="AD193" s="609" t="str">
        <f t="shared" si="40"/>
        <v/>
      </c>
      <c r="AE193" s="609" t="str">
        <f t="shared" si="40"/>
        <v/>
      </c>
      <c r="AF193" s="609" t="str">
        <f t="shared" si="40"/>
        <v/>
      </c>
      <c r="AG193" s="609" t="str">
        <f t="shared" si="40"/>
        <v/>
      </c>
      <c r="AH193" s="609" t="str">
        <f t="shared" si="40"/>
        <v/>
      </c>
      <c r="AI193" s="609" t="str">
        <f t="shared" si="40"/>
        <v/>
      </c>
      <c r="AJ193" s="609" t="str">
        <f t="shared" si="40"/>
        <v/>
      </c>
      <c r="AK193" s="609" t="str">
        <f t="shared" si="40"/>
        <v/>
      </c>
      <c r="AL193" s="609" t="str">
        <f t="shared" si="40"/>
        <v/>
      </c>
      <c r="AM193" s="609" t="str">
        <f t="shared" si="40"/>
        <v/>
      </c>
      <c r="AN193" s="609" t="str">
        <f t="shared" si="40"/>
        <v/>
      </c>
      <c r="AO193" s="609" t="str">
        <f t="shared" si="40"/>
        <v/>
      </c>
      <c r="AP193" s="609" t="str">
        <f t="shared" si="40"/>
        <v/>
      </c>
      <c r="AQ193" s="609" t="str">
        <f t="shared" si="40"/>
        <v/>
      </c>
      <c r="AR193" s="609" t="str">
        <f t="shared" si="40"/>
        <v/>
      </c>
      <c r="AS193" s="609" t="str">
        <f t="shared" si="40"/>
        <v/>
      </c>
      <c r="AT193" s="609" t="str">
        <f t="shared" si="40"/>
        <v/>
      </c>
      <c r="AU193" s="609" t="str">
        <f t="shared" si="40"/>
        <v/>
      </c>
      <c r="AV193" s="609" t="str">
        <f t="shared" si="40"/>
        <v/>
      </c>
      <c r="AW193" s="609" t="str">
        <f t="shared" si="40"/>
        <v/>
      </c>
      <c r="AX193" s="609" t="str">
        <f t="shared" si="40"/>
        <v/>
      </c>
      <c r="AY193" s="609" t="str">
        <f t="shared" si="40"/>
        <v/>
      </c>
      <c r="AZ193" s="609" t="str">
        <f t="shared" si="40"/>
        <v/>
      </c>
      <c r="BA193" s="609" t="str">
        <f t="shared" si="40"/>
        <v/>
      </c>
      <c r="BB193" s="609" t="str">
        <f t="shared" si="40"/>
        <v/>
      </c>
      <c r="BC193" s="609" t="str">
        <f t="shared" si="40"/>
        <v/>
      </c>
      <c r="BD193" s="609" t="str">
        <f t="shared" si="40"/>
        <v/>
      </c>
      <c r="BE193" s="609" t="str">
        <f t="shared" si="40"/>
        <v/>
      </c>
      <c r="BF193" s="609" t="str">
        <f t="shared" si="40"/>
        <v/>
      </c>
      <c r="BG193" s="609" t="str">
        <f t="shared" si="40"/>
        <v/>
      </c>
    </row>
    <row r="194" spans="2:59" x14ac:dyDescent="0.25">
      <c r="B194" s="654">
        <v>188</v>
      </c>
      <c r="C194" s="654"/>
      <c r="D194" s="654"/>
      <c r="E194" s="655"/>
      <c r="F194" s="654"/>
      <c r="H194" s="609" t="str">
        <f t="shared" si="28"/>
        <v/>
      </c>
      <c r="I194" s="609" t="str">
        <f t="shared" si="40"/>
        <v/>
      </c>
      <c r="J194" s="609" t="str">
        <f t="shared" si="40"/>
        <v/>
      </c>
      <c r="K194" s="609" t="str">
        <f t="shared" si="40"/>
        <v/>
      </c>
      <c r="L194" s="609" t="str">
        <f t="shared" si="40"/>
        <v/>
      </c>
      <c r="M194" s="609" t="str">
        <f t="shared" si="40"/>
        <v/>
      </c>
      <c r="N194" s="609" t="str">
        <f t="shared" si="40"/>
        <v/>
      </c>
      <c r="O194" s="609" t="str">
        <f t="shared" si="40"/>
        <v/>
      </c>
      <c r="P194" s="609" t="str">
        <f t="shared" si="40"/>
        <v/>
      </c>
      <c r="Q194" s="609" t="str">
        <f t="shared" si="40"/>
        <v/>
      </c>
      <c r="R194" s="609" t="str">
        <f t="shared" si="40"/>
        <v/>
      </c>
      <c r="S194" s="609" t="str">
        <f t="shared" si="40"/>
        <v/>
      </c>
      <c r="T194" s="609" t="str">
        <f t="shared" si="40"/>
        <v/>
      </c>
      <c r="U194" s="609" t="str">
        <f t="shared" si="40"/>
        <v/>
      </c>
      <c r="V194" s="609" t="str">
        <f t="shared" si="40"/>
        <v/>
      </c>
      <c r="W194" s="609" t="str">
        <f t="shared" si="40"/>
        <v/>
      </c>
      <c r="X194" s="609" t="str">
        <f t="shared" si="40"/>
        <v/>
      </c>
      <c r="Y194" s="609" t="str">
        <f t="shared" si="40"/>
        <v/>
      </c>
      <c r="Z194" s="609" t="str">
        <f t="shared" si="40"/>
        <v/>
      </c>
      <c r="AA194" s="609" t="str">
        <f t="shared" si="40"/>
        <v/>
      </c>
      <c r="AB194" s="609" t="str">
        <f t="shared" si="40"/>
        <v/>
      </c>
      <c r="AC194" s="609" t="str">
        <f t="shared" si="40"/>
        <v/>
      </c>
      <c r="AD194" s="609" t="str">
        <f t="shared" si="40"/>
        <v/>
      </c>
      <c r="AE194" s="609" t="str">
        <f t="shared" si="40"/>
        <v/>
      </c>
      <c r="AF194" s="609" t="str">
        <f t="shared" si="40"/>
        <v/>
      </c>
      <c r="AG194" s="609" t="str">
        <f t="shared" si="40"/>
        <v/>
      </c>
      <c r="AH194" s="609" t="str">
        <f t="shared" si="40"/>
        <v/>
      </c>
      <c r="AI194" s="609" t="str">
        <f t="shared" si="40"/>
        <v/>
      </c>
      <c r="AJ194" s="609" t="str">
        <f t="shared" si="40"/>
        <v/>
      </c>
      <c r="AK194" s="609" t="str">
        <f t="shared" si="40"/>
        <v/>
      </c>
      <c r="AL194" s="609" t="str">
        <f t="shared" si="40"/>
        <v/>
      </c>
      <c r="AM194" s="609" t="str">
        <f t="shared" si="40"/>
        <v/>
      </c>
      <c r="AN194" s="609" t="str">
        <f t="shared" si="40"/>
        <v/>
      </c>
      <c r="AO194" s="609" t="str">
        <f t="shared" si="40"/>
        <v/>
      </c>
      <c r="AP194" s="609" t="str">
        <f t="shared" si="40"/>
        <v/>
      </c>
      <c r="AQ194" s="609" t="str">
        <f t="shared" si="40"/>
        <v/>
      </c>
      <c r="AR194" s="609" t="str">
        <f t="shared" si="40"/>
        <v/>
      </c>
      <c r="AS194" s="609" t="str">
        <f t="shared" si="40"/>
        <v/>
      </c>
      <c r="AT194" s="609" t="str">
        <f t="shared" si="40"/>
        <v/>
      </c>
      <c r="AU194" s="609" t="str">
        <f t="shared" si="40"/>
        <v/>
      </c>
      <c r="AV194" s="609" t="str">
        <f t="shared" si="40"/>
        <v/>
      </c>
      <c r="AW194" s="609" t="str">
        <f t="shared" si="40"/>
        <v/>
      </c>
      <c r="AX194" s="609" t="str">
        <f t="shared" si="40"/>
        <v/>
      </c>
      <c r="AY194" s="609" t="str">
        <f t="shared" si="40"/>
        <v/>
      </c>
      <c r="AZ194" s="609" t="str">
        <f t="shared" si="40"/>
        <v/>
      </c>
      <c r="BA194" s="609" t="str">
        <f t="shared" si="40"/>
        <v/>
      </c>
      <c r="BB194" s="609" t="str">
        <f t="shared" si="40"/>
        <v/>
      </c>
      <c r="BC194" s="609" t="str">
        <f t="shared" si="40"/>
        <v/>
      </c>
      <c r="BD194" s="609" t="str">
        <f t="shared" si="40"/>
        <v/>
      </c>
      <c r="BE194" s="609" t="str">
        <f t="shared" si="40"/>
        <v/>
      </c>
      <c r="BF194" s="609" t="str">
        <f t="shared" si="40"/>
        <v/>
      </c>
      <c r="BG194" s="609" t="str">
        <f t="shared" si="40"/>
        <v/>
      </c>
    </row>
    <row r="195" spans="2:59" x14ac:dyDescent="0.25">
      <c r="B195" s="654">
        <v>189</v>
      </c>
      <c r="C195" s="654"/>
      <c r="D195" s="654"/>
      <c r="E195" s="655"/>
      <c r="F195" s="654"/>
      <c r="H195" s="609" t="str">
        <f t="shared" si="28"/>
        <v/>
      </c>
      <c r="I195" s="609" t="str">
        <f t="shared" si="40"/>
        <v/>
      </c>
      <c r="J195" s="609" t="str">
        <f t="shared" si="40"/>
        <v/>
      </c>
      <c r="K195" s="609" t="str">
        <f t="shared" si="40"/>
        <v/>
      </c>
      <c r="L195" s="609" t="str">
        <f t="shared" si="40"/>
        <v/>
      </c>
      <c r="M195" s="609" t="str">
        <f t="shared" si="40"/>
        <v/>
      </c>
      <c r="N195" s="609" t="str">
        <f t="shared" si="40"/>
        <v/>
      </c>
      <c r="O195" s="609" t="str">
        <f t="shared" si="40"/>
        <v/>
      </c>
      <c r="P195" s="609" t="str">
        <f t="shared" si="40"/>
        <v/>
      </c>
      <c r="Q195" s="609" t="str">
        <f t="shared" si="40"/>
        <v/>
      </c>
      <c r="R195" s="609" t="str">
        <f t="shared" si="40"/>
        <v/>
      </c>
      <c r="S195" s="609" t="str">
        <f t="shared" si="40"/>
        <v/>
      </c>
      <c r="T195" s="609" t="str">
        <f t="shared" si="40"/>
        <v/>
      </c>
      <c r="U195" s="609" t="str">
        <f t="shared" si="40"/>
        <v/>
      </c>
      <c r="V195" s="609" t="str">
        <f t="shared" si="40"/>
        <v/>
      </c>
      <c r="W195" s="609" t="str">
        <f t="shared" si="40"/>
        <v/>
      </c>
      <c r="X195" s="609" t="str">
        <f t="shared" si="40"/>
        <v/>
      </c>
      <c r="Y195" s="609" t="str">
        <f t="shared" si="40"/>
        <v/>
      </c>
      <c r="Z195" s="609" t="str">
        <f t="shared" si="40"/>
        <v/>
      </c>
      <c r="AA195" s="609" t="str">
        <f t="shared" si="40"/>
        <v/>
      </c>
      <c r="AB195" s="609" t="str">
        <f t="shared" si="40"/>
        <v/>
      </c>
      <c r="AC195" s="609" t="str">
        <f t="shared" si="40"/>
        <v/>
      </c>
      <c r="AD195" s="609" t="str">
        <f t="shared" si="40"/>
        <v/>
      </c>
      <c r="AE195" s="609" t="str">
        <f t="shared" si="40"/>
        <v/>
      </c>
      <c r="AF195" s="609" t="str">
        <f t="shared" si="40"/>
        <v/>
      </c>
      <c r="AG195" s="609" t="str">
        <f t="shared" si="40"/>
        <v/>
      </c>
      <c r="AH195" s="609" t="str">
        <f t="shared" si="40"/>
        <v/>
      </c>
      <c r="AI195" s="609" t="str">
        <f t="shared" si="40"/>
        <v/>
      </c>
      <c r="AJ195" s="609" t="str">
        <f t="shared" si="40"/>
        <v/>
      </c>
      <c r="AK195" s="609" t="str">
        <f t="shared" si="40"/>
        <v/>
      </c>
      <c r="AL195" s="609" t="str">
        <f t="shared" si="40"/>
        <v/>
      </c>
      <c r="AM195" s="609" t="str">
        <f t="shared" si="40"/>
        <v/>
      </c>
      <c r="AN195" s="609" t="str">
        <f t="shared" si="40"/>
        <v/>
      </c>
      <c r="AO195" s="609" t="str">
        <f t="shared" si="40"/>
        <v/>
      </c>
      <c r="AP195" s="609" t="str">
        <f t="shared" si="40"/>
        <v/>
      </c>
      <c r="AQ195" s="609" t="str">
        <f t="shared" si="40"/>
        <v/>
      </c>
      <c r="AR195" s="609" t="str">
        <f t="shared" si="40"/>
        <v/>
      </c>
      <c r="AS195" s="609" t="str">
        <f t="shared" si="40"/>
        <v/>
      </c>
      <c r="AT195" s="609" t="str">
        <f t="shared" si="40"/>
        <v/>
      </c>
      <c r="AU195" s="609" t="str">
        <f t="shared" si="40"/>
        <v/>
      </c>
      <c r="AV195" s="609" t="str">
        <f t="shared" si="40"/>
        <v/>
      </c>
      <c r="AW195" s="609" t="str">
        <f t="shared" si="40"/>
        <v/>
      </c>
      <c r="AX195" s="609" t="str">
        <f t="shared" si="40"/>
        <v/>
      </c>
      <c r="AY195" s="609" t="str">
        <f t="shared" si="40"/>
        <v/>
      </c>
      <c r="AZ195" s="609" t="str">
        <f t="shared" si="40"/>
        <v/>
      </c>
      <c r="BA195" s="609" t="str">
        <f t="shared" si="40"/>
        <v/>
      </c>
      <c r="BB195" s="609" t="str">
        <f t="shared" si="40"/>
        <v/>
      </c>
      <c r="BC195" s="609" t="str">
        <f t="shared" si="40"/>
        <v/>
      </c>
      <c r="BD195" s="609" t="str">
        <f t="shared" si="40"/>
        <v/>
      </c>
      <c r="BE195" s="609" t="str">
        <f t="shared" si="40"/>
        <v/>
      </c>
      <c r="BF195" s="609" t="str">
        <f t="shared" si="40"/>
        <v/>
      </c>
      <c r="BG195" s="609" t="str">
        <f t="shared" si="40"/>
        <v/>
      </c>
    </row>
    <row r="196" spans="2:59" x14ac:dyDescent="0.25">
      <c r="B196" s="654">
        <v>190</v>
      </c>
      <c r="C196" s="654"/>
      <c r="D196" s="654"/>
      <c r="E196" s="655"/>
      <c r="F196" s="654"/>
      <c r="H196" s="609" t="str">
        <f t="shared" si="28"/>
        <v/>
      </c>
      <c r="I196" s="609" t="str">
        <f t="shared" si="40"/>
        <v/>
      </c>
      <c r="J196" s="609" t="str">
        <f t="shared" si="40"/>
        <v/>
      </c>
      <c r="K196" s="609" t="str">
        <f t="shared" si="40"/>
        <v/>
      </c>
      <c r="L196" s="609" t="str">
        <f t="shared" si="40"/>
        <v/>
      </c>
      <c r="M196" s="609" t="str">
        <f t="shared" si="40"/>
        <v/>
      </c>
      <c r="N196" s="609" t="str">
        <f t="shared" si="40"/>
        <v/>
      </c>
      <c r="O196" s="609" t="str">
        <f t="shared" si="40"/>
        <v/>
      </c>
      <c r="P196" s="609" t="str">
        <f t="shared" si="40"/>
        <v/>
      </c>
      <c r="Q196" s="609" t="str">
        <f t="shared" si="40"/>
        <v/>
      </c>
      <c r="R196" s="609" t="str">
        <f t="shared" si="40"/>
        <v/>
      </c>
      <c r="S196" s="609" t="str">
        <f t="shared" si="40"/>
        <v/>
      </c>
      <c r="T196" s="609" t="str">
        <f t="shared" si="40"/>
        <v/>
      </c>
      <c r="U196" s="609" t="str">
        <f t="shared" si="40"/>
        <v/>
      </c>
      <c r="V196" s="609" t="str">
        <f t="shared" si="40"/>
        <v/>
      </c>
      <c r="W196" s="609" t="str">
        <f t="shared" si="40"/>
        <v/>
      </c>
      <c r="X196" s="609" t="str">
        <f t="shared" si="40"/>
        <v/>
      </c>
      <c r="Y196" s="609" t="str">
        <f t="shared" si="40"/>
        <v/>
      </c>
      <c r="Z196" s="609" t="str">
        <f t="shared" si="40"/>
        <v/>
      </c>
      <c r="AA196" s="609" t="str">
        <f t="shared" si="40"/>
        <v/>
      </c>
      <c r="AB196" s="609" t="str">
        <f t="shared" si="40"/>
        <v/>
      </c>
      <c r="AC196" s="609" t="str">
        <f t="shared" si="40"/>
        <v/>
      </c>
      <c r="AD196" s="609" t="str">
        <f t="shared" si="40"/>
        <v/>
      </c>
      <c r="AE196" s="609" t="str">
        <f t="shared" si="40"/>
        <v/>
      </c>
      <c r="AF196" s="609" t="str">
        <f t="shared" si="40"/>
        <v/>
      </c>
      <c r="AG196" s="609" t="str">
        <f t="shared" si="40"/>
        <v/>
      </c>
      <c r="AH196" s="609" t="str">
        <f t="shared" si="40"/>
        <v/>
      </c>
      <c r="AI196" s="609" t="str">
        <f t="shared" si="40"/>
        <v/>
      </c>
      <c r="AJ196" s="609" t="str">
        <f t="shared" si="40"/>
        <v/>
      </c>
      <c r="AK196" s="609" t="str">
        <f t="shared" si="40"/>
        <v/>
      </c>
      <c r="AL196" s="609" t="str">
        <f t="shared" si="40"/>
        <v/>
      </c>
      <c r="AM196" s="609" t="str">
        <f t="shared" si="40"/>
        <v/>
      </c>
      <c r="AN196" s="609" t="str">
        <f t="shared" si="40"/>
        <v/>
      </c>
      <c r="AO196" s="609" t="str">
        <f t="shared" si="40"/>
        <v/>
      </c>
      <c r="AP196" s="609" t="str">
        <f t="shared" si="40"/>
        <v/>
      </c>
      <c r="AQ196" s="609" t="str">
        <f t="shared" si="40"/>
        <v/>
      </c>
      <c r="AR196" s="609" t="str">
        <f t="shared" si="40"/>
        <v/>
      </c>
      <c r="AS196" s="609" t="str">
        <f t="shared" si="40"/>
        <v/>
      </c>
      <c r="AT196" s="609" t="str">
        <f t="shared" si="40"/>
        <v/>
      </c>
      <c r="AU196" s="609" t="str">
        <f t="shared" si="40"/>
        <v/>
      </c>
      <c r="AV196" s="609" t="str">
        <f t="shared" si="40"/>
        <v/>
      </c>
      <c r="AW196" s="609" t="str">
        <f t="shared" si="40"/>
        <v/>
      </c>
      <c r="AX196" s="609" t="str">
        <f t="shared" si="40"/>
        <v/>
      </c>
      <c r="AY196" s="609" t="str">
        <f t="shared" si="40"/>
        <v/>
      </c>
      <c r="AZ196" s="609" t="str">
        <f t="shared" si="40"/>
        <v/>
      </c>
      <c r="BA196" s="609" t="str">
        <f t="shared" si="40"/>
        <v/>
      </c>
      <c r="BB196" s="609" t="str">
        <f t="shared" si="40"/>
        <v/>
      </c>
      <c r="BC196" s="609" t="str">
        <f t="shared" si="40"/>
        <v/>
      </c>
      <c r="BD196" s="609" t="str">
        <f t="shared" si="40"/>
        <v/>
      </c>
      <c r="BE196" s="609" t="str">
        <f t="shared" si="40"/>
        <v/>
      </c>
      <c r="BF196" s="609" t="str">
        <f t="shared" si="40"/>
        <v/>
      </c>
      <c r="BG196" s="609" t="str">
        <f t="shared" si="40"/>
        <v/>
      </c>
    </row>
    <row r="197" spans="2:59" x14ac:dyDescent="0.25">
      <c r="B197" s="654">
        <v>191</v>
      </c>
      <c r="C197" s="654"/>
      <c r="D197" s="654"/>
      <c r="E197" s="655"/>
      <c r="F197" s="654"/>
      <c r="H197" s="609" t="str">
        <f t="shared" si="28"/>
        <v/>
      </c>
      <c r="I197" s="609" t="str">
        <f t="shared" si="40"/>
        <v/>
      </c>
      <c r="J197" s="609" t="str">
        <f t="shared" si="40"/>
        <v/>
      </c>
      <c r="K197" s="609" t="str">
        <f t="shared" si="40"/>
        <v/>
      </c>
      <c r="L197" s="609" t="str">
        <f t="shared" si="40"/>
        <v/>
      </c>
      <c r="M197" s="609" t="str">
        <f t="shared" si="40"/>
        <v/>
      </c>
      <c r="N197" s="609" t="str">
        <f t="shared" si="40"/>
        <v/>
      </c>
      <c r="O197" s="609" t="str">
        <f t="shared" si="40"/>
        <v/>
      </c>
      <c r="P197" s="609" t="str">
        <f t="shared" si="40"/>
        <v/>
      </c>
      <c r="Q197" s="609" t="str">
        <f t="shared" si="40"/>
        <v/>
      </c>
      <c r="R197" s="609" t="str">
        <f t="shared" si="40"/>
        <v/>
      </c>
      <c r="S197" s="609" t="str">
        <f t="shared" si="40"/>
        <v/>
      </c>
      <c r="T197" s="609" t="str">
        <f t="shared" si="40"/>
        <v/>
      </c>
      <c r="U197" s="609" t="str">
        <f t="shared" si="40"/>
        <v/>
      </c>
      <c r="V197" s="609" t="str">
        <f t="shared" si="40"/>
        <v/>
      </c>
      <c r="W197" s="609" t="str">
        <f t="shared" si="40"/>
        <v/>
      </c>
      <c r="X197" s="609" t="str">
        <f t="shared" si="40"/>
        <v/>
      </c>
      <c r="Y197" s="609" t="str">
        <f t="shared" si="40"/>
        <v/>
      </c>
      <c r="Z197" s="609" t="str">
        <f t="shared" si="40"/>
        <v/>
      </c>
      <c r="AA197" s="609" t="str">
        <f t="shared" si="40"/>
        <v/>
      </c>
      <c r="AB197" s="609" t="str">
        <f t="shared" si="40"/>
        <v/>
      </c>
      <c r="AC197" s="609" t="str">
        <f t="shared" si="40"/>
        <v/>
      </c>
      <c r="AD197" s="609" t="str">
        <f t="shared" si="40"/>
        <v/>
      </c>
      <c r="AE197" s="609" t="str">
        <f t="shared" si="40"/>
        <v/>
      </c>
      <c r="AF197" s="609" t="str">
        <f t="shared" si="40"/>
        <v/>
      </c>
      <c r="AG197" s="609" t="str">
        <f t="shared" si="40"/>
        <v/>
      </c>
      <c r="AH197" s="609" t="str">
        <f t="shared" si="40"/>
        <v/>
      </c>
      <c r="AI197" s="609" t="str">
        <f t="shared" si="40"/>
        <v/>
      </c>
      <c r="AJ197" s="609" t="str">
        <f t="shared" si="40"/>
        <v/>
      </c>
      <c r="AK197" s="609" t="str">
        <f t="shared" si="40"/>
        <v/>
      </c>
      <c r="AL197" s="609" t="str">
        <f t="shared" si="40"/>
        <v/>
      </c>
      <c r="AM197" s="609" t="str">
        <f t="shared" si="40"/>
        <v/>
      </c>
      <c r="AN197" s="609" t="str">
        <f t="shared" si="40"/>
        <v/>
      </c>
      <c r="AO197" s="609" t="str">
        <f t="shared" si="40"/>
        <v/>
      </c>
      <c r="AP197" s="609" t="str">
        <f t="shared" si="40"/>
        <v/>
      </c>
      <c r="AQ197" s="609" t="str">
        <f t="shared" si="40"/>
        <v/>
      </c>
      <c r="AR197" s="609" t="str">
        <f t="shared" si="40"/>
        <v/>
      </c>
      <c r="AS197" s="609" t="str">
        <f t="shared" si="40"/>
        <v/>
      </c>
      <c r="AT197" s="609" t="str">
        <f t="shared" si="40"/>
        <v/>
      </c>
      <c r="AU197" s="609" t="str">
        <f t="shared" si="40"/>
        <v/>
      </c>
      <c r="AV197" s="609" t="str">
        <f t="shared" si="40"/>
        <v/>
      </c>
      <c r="AW197" s="609" t="str">
        <f t="shared" si="40"/>
        <v/>
      </c>
      <c r="AX197" s="609" t="str">
        <f t="shared" si="40"/>
        <v/>
      </c>
      <c r="AY197" s="609" t="str">
        <f t="shared" si="40"/>
        <v/>
      </c>
      <c r="AZ197" s="609" t="str">
        <f t="shared" si="40"/>
        <v/>
      </c>
      <c r="BA197" s="609" t="str">
        <f t="shared" si="40"/>
        <v/>
      </c>
      <c r="BB197" s="609" t="str">
        <f t="shared" ref="I197:BG203" si="41">IF($D197=BB$6,$B197&amp;", ","")</f>
        <v/>
      </c>
      <c r="BC197" s="609" t="str">
        <f t="shared" si="41"/>
        <v/>
      </c>
      <c r="BD197" s="609" t="str">
        <f t="shared" si="41"/>
        <v/>
      </c>
      <c r="BE197" s="609" t="str">
        <f t="shared" si="41"/>
        <v/>
      </c>
      <c r="BF197" s="609" t="str">
        <f t="shared" si="41"/>
        <v/>
      </c>
      <c r="BG197" s="609" t="str">
        <f t="shared" si="41"/>
        <v/>
      </c>
    </row>
    <row r="198" spans="2:59" x14ac:dyDescent="0.25">
      <c r="B198" s="654">
        <v>192</v>
      </c>
      <c r="C198" s="654"/>
      <c r="D198" s="654"/>
      <c r="E198" s="655"/>
      <c r="F198" s="654"/>
      <c r="H198" s="609" t="str">
        <f t="shared" si="28"/>
        <v/>
      </c>
      <c r="I198" s="609" t="str">
        <f t="shared" si="41"/>
        <v/>
      </c>
      <c r="J198" s="609" t="str">
        <f t="shared" si="41"/>
        <v/>
      </c>
      <c r="K198" s="609" t="str">
        <f t="shared" si="41"/>
        <v/>
      </c>
      <c r="L198" s="609" t="str">
        <f t="shared" si="41"/>
        <v/>
      </c>
      <c r="M198" s="609" t="str">
        <f t="shared" si="41"/>
        <v/>
      </c>
      <c r="N198" s="609" t="str">
        <f t="shared" si="41"/>
        <v/>
      </c>
      <c r="O198" s="609" t="str">
        <f t="shared" si="41"/>
        <v/>
      </c>
      <c r="P198" s="609" t="str">
        <f t="shared" si="41"/>
        <v/>
      </c>
      <c r="Q198" s="609" t="str">
        <f t="shared" si="41"/>
        <v/>
      </c>
      <c r="R198" s="609" t="str">
        <f t="shared" si="41"/>
        <v/>
      </c>
      <c r="S198" s="609" t="str">
        <f t="shared" si="41"/>
        <v/>
      </c>
      <c r="T198" s="609" t="str">
        <f t="shared" si="41"/>
        <v/>
      </c>
      <c r="U198" s="609" t="str">
        <f t="shared" si="41"/>
        <v/>
      </c>
      <c r="V198" s="609" t="str">
        <f t="shared" si="41"/>
        <v/>
      </c>
      <c r="W198" s="609" t="str">
        <f t="shared" si="41"/>
        <v/>
      </c>
      <c r="X198" s="609" t="str">
        <f t="shared" si="41"/>
        <v/>
      </c>
      <c r="Y198" s="609" t="str">
        <f t="shared" si="41"/>
        <v/>
      </c>
      <c r="Z198" s="609" t="str">
        <f t="shared" si="41"/>
        <v/>
      </c>
      <c r="AA198" s="609" t="str">
        <f t="shared" si="41"/>
        <v/>
      </c>
      <c r="AB198" s="609" t="str">
        <f t="shared" si="41"/>
        <v/>
      </c>
      <c r="AC198" s="609" t="str">
        <f t="shared" si="41"/>
        <v/>
      </c>
      <c r="AD198" s="609" t="str">
        <f t="shared" si="41"/>
        <v/>
      </c>
      <c r="AE198" s="609" t="str">
        <f t="shared" si="41"/>
        <v/>
      </c>
      <c r="AF198" s="609" t="str">
        <f t="shared" si="41"/>
        <v/>
      </c>
      <c r="AG198" s="609" t="str">
        <f t="shared" si="41"/>
        <v/>
      </c>
      <c r="AH198" s="609" t="str">
        <f t="shared" si="41"/>
        <v/>
      </c>
      <c r="AI198" s="609" t="str">
        <f t="shared" si="41"/>
        <v/>
      </c>
      <c r="AJ198" s="609" t="str">
        <f t="shared" si="41"/>
        <v/>
      </c>
      <c r="AK198" s="609" t="str">
        <f t="shared" si="41"/>
        <v/>
      </c>
      <c r="AL198" s="609" t="str">
        <f t="shared" si="41"/>
        <v/>
      </c>
      <c r="AM198" s="609" t="str">
        <f t="shared" si="41"/>
        <v/>
      </c>
      <c r="AN198" s="609" t="str">
        <f t="shared" si="41"/>
        <v/>
      </c>
      <c r="AO198" s="609" t="str">
        <f t="shared" si="41"/>
        <v/>
      </c>
      <c r="AP198" s="609" t="str">
        <f t="shared" si="41"/>
        <v/>
      </c>
      <c r="AQ198" s="609" t="str">
        <f t="shared" si="41"/>
        <v/>
      </c>
      <c r="AR198" s="609" t="str">
        <f t="shared" si="41"/>
        <v/>
      </c>
      <c r="AS198" s="609" t="str">
        <f t="shared" si="41"/>
        <v/>
      </c>
      <c r="AT198" s="609" t="str">
        <f t="shared" si="41"/>
        <v/>
      </c>
      <c r="AU198" s="609" t="str">
        <f t="shared" si="41"/>
        <v/>
      </c>
      <c r="AV198" s="609" t="str">
        <f t="shared" si="41"/>
        <v/>
      </c>
      <c r="AW198" s="609" t="str">
        <f t="shared" si="41"/>
        <v/>
      </c>
      <c r="AX198" s="609" t="str">
        <f t="shared" si="41"/>
        <v/>
      </c>
      <c r="AY198" s="609" t="str">
        <f t="shared" si="41"/>
        <v/>
      </c>
      <c r="AZ198" s="609" t="str">
        <f t="shared" si="41"/>
        <v/>
      </c>
      <c r="BA198" s="609" t="str">
        <f t="shared" si="41"/>
        <v/>
      </c>
      <c r="BB198" s="609" t="str">
        <f t="shared" si="41"/>
        <v/>
      </c>
      <c r="BC198" s="609" t="str">
        <f t="shared" si="41"/>
        <v/>
      </c>
      <c r="BD198" s="609" t="str">
        <f t="shared" si="41"/>
        <v/>
      </c>
      <c r="BE198" s="609" t="str">
        <f t="shared" si="41"/>
        <v/>
      </c>
      <c r="BF198" s="609" t="str">
        <f t="shared" si="41"/>
        <v/>
      </c>
      <c r="BG198" s="609" t="str">
        <f t="shared" si="41"/>
        <v/>
      </c>
    </row>
    <row r="199" spans="2:59" x14ac:dyDescent="0.25">
      <c r="B199" s="654">
        <v>193</v>
      </c>
      <c r="C199" s="654"/>
      <c r="D199" s="654"/>
      <c r="E199" s="655"/>
      <c r="F199" s="654"/>
      <c r="H199" s="609" t="str">
        <f t="shared" si="28"/>
        <v/>
      </c>
      <c r="I199" s="609" t="str">
        <f t="shared" si="41"/>
        <v/>
      </c>
      <c r="J199" s="609" t="str">
        <f t="shared" si="41"/>
        <v/>
      </c>
      <c r="K199" s="609" t="str">
        <f t="shared" si="41"/>
        <v/>
      </c>
      <c r="L199" s="609" t="str">
        <f t="shared" si="41"/>
        <v/>
      </c>
      <c r="M199" s="609" t="str">
        <f t="shared" si="41"/>
        <v/>
      </c>
      <c r="N199" s="609" t="str">
        <f t="shared" si="41"/>
        <v/>
      </c>
      <c r="O199" s="609" t="str">
        <f t="shared" si="41"/>
        <v/>
      </c>
      <c r="P199" s="609" t="str">
        <f t="shared" si="41"/>
        <v/>
      </c>
      <c r="Q199" s="609" t="str">
        <f t="shared" si="41"/>
        <v/>
      </c>
      <c r="R199" s="609" t="str">
        <f t="shared" si="41"/>
        <v/>
      </c>
      <c r="S199" s="609" t="str">
        <f t="shared" si="41"/>
        <v/>
      </c>
      <c r="T199" s="609" t="str">
        <f t="shared" si="41"/>
        <v/>
      </c>
      <c r="U199" s="609" t="str">
        <f t="shared" si="41"/>
        <v/>
      </c>
      <c r="V199" s="609" t="str">
        <f t="shared" si="41"/>
        <v/>
      </c>
      <c r="W199" s="609" t="str">
        <f t="shared" si="41"/>
        <v/>
      </c>
      <c r="X199" s="609" t="str">
        <f t="shared" si="41"/>
        <v/>
      </c>
      <c r="Y199" s="609" t="str">
        <f t="shared" si="41"/>
        <v/>
      </c>
      <c r="Z199" s="609" t="str">
        <f t="shared" si="41"/>
        <v/>
      </c>
      <c r="AA199" s="609" t="str">
        <f t="shared" si="41"/>
        <v/>
      </c>
      <c r="AB199" s="609" t="str">
        <f t="shared" si="41"/>
        <v/>
      </c>
      <c r="AC199" s="609" t="str">
        <f t="shared" si="41"/>
        <v/>
      </c>
      <c r="AD199" s="609" t="str">
        <f t="shared" si="41"/>
        <v/>
      </c>
      <c r="AE199" s="609" t="str">
        <f t="shared" si="41"/>
        <v/>
      </c>
      <c r="AF199" s="609" t="str">
        <f t="shared" si="41"/>
        <v/>
      </c>
      <c r="AG199" s="609" t="str">
        <f t="shared" si="41"/>
        <v/>
      </c>
      <c r="AH199" s="609" t="str">
        <f t="shared" si="41"/>
        <v/>
      </c>
      <c r="AI199" s="609" t="str">
        <f t="shared" si="41"/>
        <v/>
      </c>
      <c r="AJ199" s="609" t="str">
        <f t="shared" si="41"/>
        <v/>
      </c>
      <c r="AK199" s="609" t="str">
        <f t="shared" si="41"/>
        <v/>
      </c>
      <c r="AL199" s="609" t="str">
        <f t="shared" si="41"/>
        <v/>
      </c>
      <c r="AM199" s="609" t="str">
        <f t="shared" si="41"/>
        <v/>
      </c>
      <c r="AN199" s="609" t="str">
        <f t="shared" si="41"/>
        <v/>
      </c>
      <c r="AO199" s="609" t="str">
        <f t="shared" si="41"/>
        <v/>
      </c>
      <c r="AP199" s="609" t="str">
        <f t="shared" si="41"/>
        <v/>
      </c>
      <c r="AQ199" s="609" t="str">
        <f t="shared" si="41"/>
        <v/>
      </c>
      <c r="AR199" s="609" t="str">
        <f t="shared" si="41"/>
        <v/>
      </c>
      <c r="AS199" s="609" t="str">
        <f t="shared" si="41"/>
        <v/>
      </c>
      <c r="AT199" s="609" t="str">
        <f t="shared" si="41"/>
        <v/>
      </c>
      <c r="AU199" s="609" t="str">
        <f t="shared" si="41"/>
        <v/>
      </c>
      <c r="AV199" s="609" t="str">
        <f t="shared" si="41"/>
        <v/>
      </c>
      <c r="AW199" s="609" t="str">
        <f t="shared" si="41"/>
        <v/>
      </c>
      <c r="AX199" s="609" t="str">
        <f t="shared" si="41"/>
        <v/>
      </c>
      <c r="AY199" s="609" t="str">
        <f t="shared" si="41"/>
        <v/>
      </c>
      <c r="AZ199" s="609" t="str">
        <f t="shared" si="41"/>
        <v/>
      </c>
      <c r="BA199" s="609" t="str">
        <f t="shared" si="41"/>
        <v/>
      </c>
      <c r="BB199" s="609" t="str">
        <f t="shared" si="41"/>
        <v/>
      </c>
      <c r="BC199" s="609" t="str">
        <f t="shared" si="41"/>
        <v/>
      </c>
      <c r="BD199" s="609" t="str">
        <f t="shared" si="41"/>
        <v/>
      </c>
      <c r="BE199" s="609" t="str">
        <f t="shared" si="41"/>
        <v/>
      </c>
      <c r="BF199" s="609" t="str">
        <f t="shared" si="41"/>
        <v/>
      </c>
      <c r="BG199" s="609" t="str">
        <f t="shared" si="41"/>
        <v/>
      </c>
    </row>
    <row r="200" spans="2:59" x14ac:dyDescent="0.25">
      <c r="B200" s="654">
        <v>194</v>
      </c>
      <c r="C200" s="654"/>
      <c r="D200" s="654"/>
      <c r="E200" s="655"/>
      <c r="F200" s="654"/>
      <c r="H200" s="609" t="str">
        <f t="shared" ref="H200:W263" si="42">IF($D200=H$6,$B200&amp;", ","")</f>
        <v/>
      </c>
      <c r="I200" s="609" t="str">
        <f t="shared" si="42"/>
        <v/>
      </c>
      <c r="J200" s="609" t="str">
        <f t="shared" si="42"/>
        <v/>
      </c>
      <c r="K200" s="609" t="str">
        <f t="shared" si="42"/>
        <v/>
      </c>
      <c r="L200" s="609" t="str">
        <f t="shared" si="42"/>
        <v/>
      </c>
      <c r="M200" s="609" t="str">
        <f t="shared" si="42"/>
        <v/>
      </c>
      <c r="N200" s="609" t="str">
        <f t="shared" si="42"/>
        <v/>
      </c>
      <c r="O200" s="609" t="str">
        <f t="shared" si="42"/>
        <v/>
      </c>
      <c r="P200" s="609" t="str">
        <f t="shared" si="42"/>
        <v/>
      </c>
      <c r="Q200" s="609" t="str">
        <f t="shared" si="42"/>
        <v/>
      </c>
      <c r="R200" s="609" t="str">
        <f t="shared" si="42"/>
        <v/>
      </c>
      <c r="S200" s="609" t="str">
        <f t="shared" si="42"/>
        <v/>
      </c>
      <c r="T200" s="609" t="str">
        <f t="shared" si="42"/>
        <v/>
      </c>
      <c r="U200" s="609" t="str">
        <f t="shared" si="42"/>
        <v/>
      </c>
      <c r="V200" s="609" t="str">
        <f t="shared" si="42"/>
        <v/>
      </c>
      <c r="W200" s="609" t="str">
        <f t="shared" si="42"/>
        <v/>
      </c>
      <c r="X200" s="609" t="str">
        <f t="shared" si="41"/>
        <v/>
      </c>
      <c r="Y200" s="609" t="str">
        <f t="shared" si="41"/>
        <v/>
      </c>
      <c r="Z200" s="609" t="str">
        <f t="shared" si="41"/>
        <v/>
      </c>
      <c r="AA200" s="609" t="str">
        <f t="shared" si="41"/>
        <v/>
      </c>
      <c r="AB200" s="609" t="str">
        <f t="shared" si="41"/>
        <v/>
      </c>
      <c r="AC200" s="609" t="str">
        <f t="shared" si="41"/>
        <v/>
      </c>
      <c r="AD200" s="609" t="str">
        <f t="shared" si="41"/>
        <v/>
      </c>
      <c r="AE200" s="609" t="str">
        <f t="shared" si="41"/>
        <v/>
      </c>
      <c r="AF200" s="609" t="str">
        <f t="shared" si="41"/>
        <v/>
      </c>
      <c r="AG200" s="609" t="str">
        <f t="shared" si="41"/>
        <v/>
      </c>
      <c r="AH200" s="609" t="str">
        <f t="shared" si="41"/>
        <v/>
      </c>
      <c r="AI200" s="609" t="str">
        <f t="shared" si="41"/>
        <v/>
      </c>
      <c r="AJ200" s="609" t="str">
        <f t="shared" si="41"/>
        <v/>
      </c>
      <c r="AK200" s="609" t="str">
        <f t="shared" si="41"/>
        <v/>
      </c>
      <c r="AL200" s="609" t="str">
        <f t="shared" si="41"/>
        <v/>
      </c>
      <c r="AM200" s="609" t="str">
        <f t="shared" si="41"/>
        <v/>
      </c>
      <c r="AN200" s="609" t="str">
        <f t="shared" si="41"/>
        <v/>
      </c>
      <c r="AO200" s="609" t="str">
        <f t="shared" si="41"/>
        <v/>
      </c>
      <c r="AP200" s="609" t="str">
        <f t="shared" si="41"/>
        <v/>
      </c>
      <c r="AQ200" s="609" t="str">
        <f t="shared" si="41"/>
        <v/>
      </c>
      <c r="AR200" s="609" t="str">
        <f t="shared" si="41"/>
        <v/>
      </c>
      <c r="AS200" s="609" t="str">
        <f t="shared" si="41"/>
        <v/>
      </c>
      <c r="AT200" s="609" t="str">
        <f t="shared" si="41"/>
        <v/>
      </c>
      <c r="AU200" s="609" t="str">
        <f t="shared" si="41"/>
        <v/>
      </c>
      <c r="AV200" s="609" t="str">
        <f t="shared" si="41"/>
        <v/>
      </c>
      <c r="AW200" s="609" t="str">
        <f t="shared" si="41"/>
        <v/>
      </c>
      <c r="AX200" s="609" t="str">
        <f t="shared" si="41"/>
        <v/>
      </c>
      <c r="AY200" s="609" t="str">
        <f t="shared" si="41"/>
        <v/>
      </c>
      <c r="AZ200" s="609" t="str">
        <f t="shared" si="41"/>
        <v/>
      </c>
      <c r="BA200" s="609" t="str">
        <f t="shared" si="41"/>
        <v/>
      </c>
      <c r="BB200" s="609" t="str">
        <f t="shared" si="41"/>
        <v/>
      </c>
      <c r="BC200" s="609" t="str">
        <f t="shared" si="41"/>
        <v/>
      </c>
      <c r="BD200" s="609" t="str">
        <f t="shared" si="41"/>
        <v/>
      </c>
      <c r="BE200" s="609" t="str">
        <f t="shared" si="41"/>
        <v/>
      </c>
      <c r="BF200" s="609" t="str">
        <f t="shared" si="41"/>
        <v/>
      </c>
      <c r="BG200" s="609" t="str">
        <f t="shared" si="41"/>
        <v/>
      </c>
    </row>
    <row r="201" spans="2:59" x14ac:dyDescent="0.25">
      <c r="B201" s="654">
        <v>195</v>
      </c>
      <c r="C201" s="654"/>
      <c r="D201" s="654"/>
      <c r="E201" s="655"/>
      <c r="F201" s="654"/>
      <c r="H201" s="609" t="str">
        <f t="shared" si="42"/>
        <v/>
      </c>
      <c r="I201" s="609" t="str">
        <f t="shared" si="41"/>
        <v/>
      </c>
      <c r="J201" s="609" t="str">
        <f t="shared" si="41"/>
        <v/>
      </c>
      <c r="K201" s="609" t="str">
        <f t="shared" si="41"/>
        <v/>
      </c>
      <c r="L201" s="609" t="str">
        <f t="shared" si="41"/>
        <v/>
      </c>
      <c r="M201" s="609" t="str">
        <f t="shared" si="41"/>
        <v/>
      </c>
      <c r="N201" s="609" t="str">
        <f t="shared" si="41"/>
        <v/>
      </c>
      <c r="O201" s="609" t="str">
        <f t="shared" si="41"/>
        <v/>
      </c>
      <c r="P201" s="609" t="str">
        <f t="shared" si="41"/>
        <v/>
      </c>
      <c r="Q201" s="609" t="str">
        <f t="shared" si="41"/>
        <v/>
      </c>
      <c r="R201" s="609" t="str">
        <f t="shared" si="41"/>
        <v/>
      </c>
      <c r="S201" s="609" t="str">
        <f t="shared" si="41"/>
        <v/>
      </c>
      <c r="T201" s="609" t="str">
        <f t="shared" si="41"/>
        <v/>
      </c>
      <c r="U201" s="609" t="str">
        <f t="shared" si="41"/>
        <v/>
      </c>
      <c r="V201" s="609" t="str">
        <f t="shared" si="41"/>
        <v/>
      </c>
      <c r="W201" s="609" t="str">
        <f t="shared" si="41"/>
        <v/>
      </c>
      <c r="X201" s="609" t="str">
        <f t="shared" si="41"/>
        <v/>
      </c>
      <c r="Y201" s="609" t="str">
        <f t="shared" si="41"/>
        <v/>
      </c>
      <c r="Z201" s="609" t="str">
        <f t="shared" si="41"/>
        <v/>
      </c>
      <c r="AA201" s="609" t="str">
        <f t="shared" si="41"/>
        <v/>
      </c>
      <c r="AB201" s="609" t="str">
        <f t="shared" si="41"/>
        <v/>
      </c>
      <c r="AC201" s="609" t="str">
        <f t="shared" si="41"/>
        <v/>
      </c>
      <c r="AD201" s="609" t="str">
        <f t="shared" si="41"/>
        <v/>
      </c>
      <c r="AE201" s="609" t="str">
        <f t="shared" si="41"/>
        <v/>
      </c>
      <c r="AF201" s="609" t="str">
        <f t="shared" si="41"/>
        <v/>
      </c>
      <c r="AG201" s="609" t="str">
        <f t="shared" si="41"/>
        <v/>
      </c>
      <c r="AH201" s="609" t="str">
        <f t="shared" si="41"/>
        <v/>
      </c>
      <c r="AI201" s="609" t="str">
        <f t="shared" si="41"/>
        <v/>
      </c>
      <c r="AJ201" s="609" t="str">
        <f t="shared" si="41"/>
        <v/>
      </c>
      <c r="AK201" s="609" t="str">
        <f t="shared" si="41"/>
        <v/>
      </c>
      <c r="AL201" s="609" t="str">
        <f t="shared" si="41"/>
        <v/>
      </c>
      <c r="AM201" s="609" t="str">
        <f t="shared" si="41"/>
        <v/>
      </c>
      <c r="AN201" s="609" t="str">
        <f t="shared" si="41"/>
        <v/>
      </c>
      <c r="AO201" s="609" t="str">
        <f t="shared" si="41"/>
        <v/>
      </c>
      <c r="AP201" s="609" t="str">
        <f t="shared" si="41"/>
        <v/>
      </c>
      <c r="AQ201" s="609" t="str">
        <f t="shared" si="41"/>
        <v/>
      </c>
      <c r="AR201" s="609" t="str">
        <f t="shared" si="41"/>
        <v/>
      </c>
      <c r="AS201" s="609" t="str">
        <f t="shared" si="41"/>
        <v/>
      </c>
      <c r="AT201" s="609" t="str">
        <f t="shared" si="41"/>
        <v/>
      </c>
      <c r="AU201" s="609" t="str">
        <f t="shared" si="41"/>
        <v/>
      </c>
      <c r="AV201" s="609" t="str">
        <f t="shared" si="41"/>
        <v/>
      </c>
      <c r="AW201" s="609" t="str">
        <f t="shared" si="41"/>
        <v/>
      </c>
      <c r="AX201" s="609" t="str">
        <f t="shared" si="41"/>
        <v/>
      </c>
      <c r="AY201" s="609" t="str">
        <f t="shared" si="41"/>
        <v/>
      </c>
      <c r="AZ201" s="609" t="str">
        <f t="shared" si="41"/>
        <v/>
      </c>
      <c r="BA201" s="609" t="str">
        <f t="shared" si="41"/>
        <v/>
      </c>
      <c r="BB201" s="609" t="str">
        <f t="shared" si="41"/>
        <v/>
      </c>
      <c r="BC201" s="609" t="str">
        <f t="shared" si="41"/>
        <v/>
      </c>
      <c r="BD201" s="609" t="str">
        <f t="shared" si="41"/>
        <v/>
      </c>
      <c r="BE201" s="609" t="str">
        <f t="shared" si="41"/>
        <v/>
      </c>
      <c r="BF201" s="609" t="str">
        <f t="shared" si="41"/>
        <v/>
      </c>
      <c r="BG201" s="609" t="str">
        <f t="shared" si="41"/>
        <v/>
      </c>
    </row>
    <row r="202" spans="2:59" x14ac:dyDescent="0.25">
      <c r="B202" s="654">
        <v>196</v>
      </c>
      <c r="C202" s="654"/>
      <c r="D202" s="654"/>
      <c r="E202" s="655"/>
      <c r="F202" s="654"/>
      <c r="H202" s="609" t="str">
        <f t="shared" si="42"/>
        <v/>
      </c>
      <c r="I202" s="609" t="str">
        <f t="shared" si="41"/>
        <v/>
      </c>
      <c r="J202" s="609" t="str">
        <f t="shared" si="41"/>
        <v/>
      </c>
      <c r="K202" s="609" t="str">
        <f t="shared" si="41"/>
        <v/>
      </c>
      <c r="L202" s="609" t="str">
        <f t="shared" si="41"/>
        <v/>
      </c>
      <c r="M202" s="609" t="str">
        <f t="shared" si="41"/>
        <v/>
      </c>
      <c r="N202" s="609" t="str">
        <f t="shared" si="41"/>
        <v/>
      </c>
      <c r="O202" s="609" t="str">
        <f t="shared" si="41"/>
        <v/>
      </c>
      <c r="P202" s="609" t="str">
        <f t="shared" si="41"/>
        <v/>
      </c>
      <c r="Q202" s="609" t="str">
        <f t="shared" si="41"/>
        <v/>
      </c>
      <c r="R202" s="609" t="str">
        <f t="shared" si="41"/>
        <v/>
      </c>
      <c r="S202" s="609" t="str">
        <f t="shared" si="41"/>
        <v/>
      </c>
      <c r="T202" s="609" t="str">
        <f t="shared" si="41"/>
        <v/>
      </c>
      <c r="U202" s="609" t="str">
        <f t="shared" si="41"/>
        <v/>
      </c>
      <c r="V202" s="609" t="str">
        <f t="shared" si="41"/>
        <v/>
      </c>
      <c r="W202" s="609" t="str">
        <f t="shared" si="41"/>
        <v/>
      </c>
      <c r="X202" s="609" t="str">
        <f t="shared" si="41"/>
        <v/>
      </c>
      <c r="Y202" s="609" t="str">
        <f t="shared" si="41"/>
        <v/>
      </c>
      <c r="Z202" s="609" t="str">
        <f t="shared" si="41"/>
        <v/>
      </c>
      <c r="AA202" s="609" t="str">
        <f t="shared" si="41"/>
        <v/>
      </c>
      <c r="AB202" s="609" t="str">
        <f t="shared" si="41"/>
        <v/>
      </c>
      <c r="AC202" s="609" t="str">
        <f t="shared" si="41"/>
        <v/>
      </c>
      <c r="AD202" s="609" t="str">
        <f t="shared" si="41"/>
        <v/>
      </c>
      <c r="AE202" s="609" t="str">
        <f t="shared" si="41"/>
        <v/>
      </c>
      <c r="AF202" s="609" t="str">
        <f t="shared" si="41"/>
        <v/>
      </c>
      <c r="AG202" s="609" t="str">
        <f t="shared" si="41"/>
        <v/>
      </c>
      <c r="AH202" s="609" t="str">
        <f t="shared" si="41"/>
        <v/>
      </c>
      <c r="AI202" s="609" t="str">
        <f t="shared" si="41"/>
        <v/>
      </c>
      <c r="AJ202" s="609" t="str">
        <f t="shared" si="41"/>
        <v/>
      </c>
      <c r="AK202" s="609" t="str">
        <f t="shared" si="41"/>
        <v/>
      </c>
      <c r="AL202" s="609" t="str">
        <f t="shared" si="41"/>
        <v/>
      </c>
      <c r="AM202" s="609" t="str">
        <f t="shared" si="41"/>
        <v/>
      </c>
      <c r="AN202" s="609" t="str">
        <f t="shared" si="41"/>
        <v/>
      </c>
      <c r="AO202" s="609" t="str">
        <f t="shared" si="41"/>
        <v/>
      </c>
      <c r="AP202" s="609" t="str">
        <f t="shared" si="41"/>
        <v/>
      </c>
      <c r="AQ202" s="609" t="str">
        <f t="shared" si="41"/>
        <v/>
      </c>
      <c r="AR202" s="609" t="str">
        <f t="shared" si="41"/>
        <v/>
      </c>
      <c r="AS202" s="609" t="str">
        <f t="shared" si="41"/>
        <v/>
      </c>
      <c r="AT202" s="609" t="str">
        <f t="shared" si="41"/>
        <v/>
      </c>
      <c r="AU202" s="609" t="str">
        <f t="shared" si="41"/>
        <v/>
      </c>
      <c r="AV202" s="609" t="str">
        <f t="shared" si="41"/>
        <v/>
      </c>
      <c r="AW202" s="609" t="str">
        <f t="shared" si="41"/>
        <v/>
      </c>
      <c r="AX202" s="609" t="str">
        <f t="shared" si="41"/>
        <v/>
      </c>
      <c r="AY202" s="609" t="str">
        <f t="shared" si="41"/>
        <v/>
      </c>
      <c r="AZ202" s="609" t="str">
        <f t="shared" si="41"/>
        <v/>
      </c>
      <c r="BA202" s="609" t="str">
        <f t="shared" si="41"/>
        <v/>
      </c>
      <c r="BB202" s="609" t="str">
        <f t="shared" si="41"/>
        <v/>
      </c>
      <c r="BC202" s="609" t="str">
        <f t="shared" si="41"/>
        <v/>
      </c>
      <c r="BD202" s="609" t="str">
        <f t="shared" si="41"/>
        <v/>
      </c>
      <c r="BE202" s="609" t="str">
        <f t="shared" si="41"/>
        <v/>
      </c>
      <c r="BF202" s="609" t="str">
        <f t="shared" si="41"/>
        <v/>
      </c>
      <c r="BG202" s="609" t="str">
        <f t="shared" si="41"/>
        <v/>
      </c>
    </row>
    <row r="203" spans="2:59" x14ac:dyDescent="0.25">
      <c r="B203" s="654">
        <v>197</v>
      </c>
      <c r="C203" s="654"/>
      <c r="D203" s="654"/>
      <c r="E203" s="655"/>
      <c r="F203" s="654"/>
      <c r="H203" s="609" t="str">
        <f t="shared" si="42"/>
        <v/>
      </c>
      <c r="I203" s="609" t="str">
        <f t="shared" si="41"/>
        <v/>
      </c>
      <c r="J203" s="609" t="str">
        <f t="shared" si="41"/>
        <v/>
      </c>
      <c r="K203" s="609" t="str">
        <f t="shared" si="41"/>
        <v/>
      </c>
      <c r="L203" s="609" t="str">
        <f t="shared" si="41"/>
        <v/>
      </c>
      <c r="M203" s="609" t="str">
        <f t="shared" si="41"/>
        <v/>
      </c>
      <c r="N203" s="609" t="str">
        <f t="shared" si="41"/>
        <v/>
      </c>
      <c r="O203" s="609" t="str">
        <f t="shared" si="41"/>
        <v/>
      </c>
      <c r="P203" s="609" t="str">
        <f t="shared" si="41"/>
        <v/>
      </c>
      <c r="Q203" s="609" t="str">
        <f t="shared" si="41"/>
        <v/>
      </c>
      <c r="R203" s="609" t="str">
        <f t="shared" ref="I203:BG208" si="43">IF($D203=R$6,$B203&amp;", ","")</f>
        <v/>
      </c>
      <c r="S203" s="609" t="str">
        <f t="shared" si="43"/>
        <v/>
      </c>
      <c r="T203" s="609" t="str">
        <f t="shared" si="43"/>
        <v/>
      </c>
      <c r="U203" s="609" t="str">
        <f t="shared" si="43"/>
        <v/>
      </c>
      <c r="V203" s="609" t="str">
        <f t="shared" si="43"/>
        <v/>
      </c>
      <c r="W203" s="609" t="str">
        <f t="shared" si="43"/>
        <v/>
      </c>
      <c r="X203" s="609" t="str">
        <f t="shared" si="43"/>
        <v/>
      </c>
      <c r="Y203" s="609" t="str">
        <f t="shared" si="43"/>
        <v/>
      </c>
      <c r="Z203" s="609" t="str">
        <f t="shared" si="43"/>
        <v/>
      </c>
      <c r="AA203" s="609" t="str">
        <f t="shared" si="43"/>
        <v/>
      </c>
      <c r="AB203" s="609" t="str">
        <f t="shared" si="43"/>
        <v/>
      </c>
      <c r="AC203" s="609" t="str">
        <f t="shared" si="43"/>
        <v/>
      </c>
      <c r="AD203" s="609" t="str">
        <f t="shared" si="43"/>
        <v/>
      </c>
      <c r="AE203" s="609" t="str">
        <f t="shared" si="43"/>
        <v/>
      </c>
      <c r="AF203" s="609" t="str">
        <f t="shared" si="43"/>
        <v/>
      </c>
      <c r="AG203" s="609" t="str">
        <f t="shared" si="43"/>
        <v/>
      </c>
      <c r="AH203" s="609" t="str">
        <f t="shared" si="43"/>
        <v/>
      </c>
      <c r="AI203" s="609" t="str">
        <f t="shared" si="43"/>
        <v/>
      </c>
      <c r="AJ203" s="609" t="str">
        <f t="shared" si="43"/>
        <v/>
      </c>
      <c r="AK203" s="609" t="str">
        <f t="shared" si="43"/>
        <v/>
      </c>
      <c r="AL203" s="609" t="str">
        <f t="shared" si="43"/>
        <v/>
      </c>
      <c r="AM203" s="609" t="str">
        <f t="shared" si="43"/>
        <v/>
      </c>
      <c r="AN203" s="609" t="str">
        <f t="shared" si="43"/>
        <v/>
      </c>
      <c r="AO203" s="609" t="str">
        <f t="shared" si="43"/>
        <v/>
      </c>
      <c r="AP203" s="609" t="str">
        <f t="shared" si="43"/>
        <v/>
      </c>
      <c r="AQ203" s="609" t="str">
        <f t="shared" si="43"/>
        <v/>
      </c>
      <c r="AR203" s="609" t="str">
        <f t="shared" si="43"/>
        <v/>
      </c>
      <c r="AS203" s="609" t="str">
        <f t="shared" si="43"/>
        <v/>
      </c>
      <c r="AT203" s="609" t="str">
        <f t="shared" si="43"/>
        <v/>
      </c>
      <c r="AU203" s="609" t="str">
        <f t="shared" si="43"/>
        <v/>
      </c>
      <c r="AV203" s="609" t="str">
        <f t="shared" si="43"/>
        <v/>
      </c>
      <c r="AW203" s="609" t="str">
        <f t="shared" si="43"/>
        <v/>
      </c>
      <c r="AX203" s="609" t="str">
        <f t="shared" si="43"/>
        <v/>
      </c>
      <c r="AY203" s="609" t="str">
        <f t="shared" si="43"/>
        <v/>
      </c>
      <c r="AZ203" s="609" t="str">
        <f t="shared" si="43"/>
        <v/>
      </c>
      <c r="BA203" s="609" t="str">
        <f t="shared" si="43"/>
        <v/>
      </c>
      <c r="BB203" s="609" t="str">
        <f t="shared" si="43"/>
        <v/>
      </c>
      <c r="BC203" s="609" t="str">
        <f t="shared" si="43"/>
        <v/>
      </c>
      <c r="BD203" s="609" t="str">
        <f t="shared" si="43"/>
        <v/>
      </c>
      <c r="BE203" s="609" t="str">
        <f t="shared" si="43"/>
        <v/>
      </c>
      <c r="BF203" s="609" t="str">
        <f t="shared" si="43"/>
        <v/>
      </c>
      <c r="BG203" s="609" t="str">
        <f t="shared" si="43"/>
        <v/>
      </c>
    </row>
    <row r="204" spans="2:59" x14ac:dyDescent="0.25">
      <c r="B204" s="654">
        <v>198</v>
      </c>
      <c r="C204" s="654"/>
      <c r="D204" s="654"/>
      <c r="E204" s="655"/>
      <c r="F204" s="654"/>
      <c r="H204" s="609" t="str">
        <f t="shared" si="42"/>
        <v/>
      </c>
      <c r="I204" s="609" t="str">
        <f t="shared" si="43"/>
        <v/>
      </c>
      <c r="J204" s="609" t="str">
        <f t="shared" si="43"/>
        <v/>
      </c>
      <c r="K204" s="609" t="str">
        <f t="shared" si="43"/>
        <v/>
      </c>
      <c r="L204" s="609" t="str">
        <f t="shared" si="43"/>
        <v/>
      </c>
      <c r="M204" s="609" t="str">
        <f t="shared" si="43"/>
        <v/>
      </c>
      <c r="N204" s="609" t="str">
        <f t="shared" si="43"/>
        <v/>
      </c>
      <c r="O204" s="609" t="str">
        <f t="shared" si="43"/>
        <v/>
      </c>
      <c r="P204" s="609" t="str">
        <f t="shared" si="43"/>
        <v/>
      </c>
      <c r="Q204" s="609" t="str">
        <f t="shared" si="43"/>
        <v/>
      </c>
      <c r="R204" s="609" t="str">
        <f t="shared" si="43"/>
        <v/>
      </c>
      <c r="S204" s="609" t="str">
        <f t="shared" si="43"/>
        <v/>
      </c>
      <c r="T204" s="609" t="str">
        <f t="shared" si="43"/>
        <v/>
      </c>
      <c r="U204" s="609" t="str">
        <f t="shared" si="43"/>
        <v/>
      </c>
      <c r="V204" s="609" t="str">
        <f t="shared" si="43"/>
        <v/>
      </c>
      <c r="W204" s="609" t="str">
        <f t="shared" si="43"/>
        <v/>
      </c>
      <c r="X204" s="609" t="str">
        <f t="shared" si="43"/>
        <v/>
      </c>
      <c r="Y204" s="609" t="str">
        <f t="shared" si="43"/>
        <v/>
      </c>
      <c r="Z204" s="609" t="str">
        <f t="shared" si="43"/>
        <v/>
      </c>
      <c r="AA204" s="609" t="str">
        <f t="shared" si="43"/>
        <v/>
      </c>
      <c r="AB204" s="609" t="str">
        <f t="shared" si="43"/>
        <v/>
      </c>
      <c r="AC204" s="609" t="str">
        <f t="shared" si="43"/>
        <v/>
      </c>
      <c r="AD204" s="609" t="str">
        <f t="shared" si="43"/>
        <v/>
      </c>
      <c r="AE204" s="609" t="str">
        <f t="shared" si="43"/>
        <v/>
      </c>
      <c r="AF204" s="609" t="str">
        <f t="shared" si="43"/>
        <v/>
      </c>
      <c r="AG204" s="609" t="str">
        <f t="shared" si="43"/>
        <v/>
      </c>
      <c r="AH204" s="609" t="str">
        <f t="shared" si="43"/>
        <v/>
      </c>
      <c r="AI204" s="609" t="str">
        <f t="shared" si="43"/>
        <v/>
      </c>
      <c r="AJ204" s="609" t="str">
        <f t="shared" si="43"/>
        <v/>
      </c>
      <c r="AK204" s="609" t="str">
        <f t="shared" si="43"/>
        <v/>
      </c>
      <c r="AL204" s="609" t="str">
        <f t="shared" si="43"/>
        <v/>
      </c>
      <c r="AM204" s="609" t="str">
        <f t="shared" si="43"/>
        <v/>
      </c>
      <c r="AN204" s="609" t="str">
        <f t="shared" si="43"/>
        <v/>
      </c>
      <c r="AO204" s="609" t="str">
        <f t="shared" si="43"/>
        <v/>
      </c>
      <c r="AP204" s="609" t="str">
        <f t="shared" si="43"/>
        <v/>
      </c>
      <c r="AQ204" s="609" t="str">
        <f t="shared" si="43"/>
        <v/>
      </c>
      <c r="AR204" s="609" t="str">
        <f t="shared" si="43"/>
        <v/>
      </c>
      <c r="AS204" s="609" t="str">
        <f t="shared" si="43"/>
        <v/>
      </c>
      <c r="AT204" s="609" t="str">
        <f t="shared" si="43"/>
        <v/>
      </c>
      <c r="AU204" s="609" t="str">
        <f t="shared" si="43"/>
        <v/>
      </c>
      <c r="AV204" s="609" t="str">
        <f t="shared" si="43"/>
        <v/>
      </c>
      <c r="AW204" s="609" t="str">
        <f t="shared" si="43"/>
        <v/>
      </c>
      <c r="AX204" s="609" t="str">
        <f t="shared" si="43"/>
        <v/>
      </c>
      <c r="AY204" s="609" t="str">
        <f t="shared" si="43"/>
        <v/>
      </c>
      <c r="AZ204" s="609" t="str">
        <f t="shared" si="43"/>
        <v/>
      </c>
      <c r="BA204" s="609" t="str">
        <f t="shared" si="43"/>
        <v/>
      </c>
      <c r="BB204" s="609" t="str">
        <f t="shared" si="43"/>
        <v/>
      </c>
      <c r="BC204" s="609" t="str">
        <f t="shared" si="43"/>
        <v/>
      </c>
      <c r="BD204" s="609" t="str">
        <f t="shared" si="43"/>
        <v/>
      </c>
      <c r="BE204" s="609" t="str">
        <f t="shared" si="43"/>
        <v/>
      </c>
      <c r="BF204" s="609" t="str">
        <f t="shared" si="43"/>
        <v/>
      </c>
      <c r="BG204" s="609" t="str">
        <f t="shared" si="43"/>
        <v/>
      </c>
    </row>
    <row r="205" spans="2:59" x14ac:dyDescent="0.25">
      <c r="B205" s="654">
        <v>199</v>
      </c>
      <c r="C205" s="654"/>
      <c r="D205" s="654"/>
      <c r="E205" s="655"/>
      <c r="F205" s="654"/>
      <c r="H205" s="609" t="str">
        <f t="shared" si="42"/>
        <v/>
      </c>
      <c r="I205" s="609" t="str">
        <f t="shared" si="43"/>
        <v/>
      </c>
      <c r="J205" s="609" t="str">
        <f t="shared" si="43"/>
        <v/>
      </c>
      <c r="K205" s="609" t="str">
        <f t="shared" si="43"/>
        <v/>
      </c>
      <c r="L205" s="609" t="str">
        <f t="shared" si="43"/>
        <v/>
      </c>
      <c r="M205" s="609" t="str">
        <f t="shared" si="43"/>
        <v/>
      </c>
      <c r="N205" s="609" t="str">
        <f t="shared" si="43"/>
        <v/>
      </c>
      <c r="O205" s="609" t="str">
        <f t="shared" si="43"/>
        <v/>
      </c>
      <c r="P205" s="609" t="str">
        <f t="shared" si="43"/>
        <v/>
      </c>
      <c r="Q205" s="609" t="str">
        <f t="shared" si="43"/>
        <v/>
      </c>
      <c r="R205" s="609" t="str">
        <f t="shared" si="43"/>
        <v/>
      </c>
      <c r="S205" s="609" t="str">
        <f t="shared" si="43"/>
        <v/>
      </c>
      <c r="T205" s="609" t="str">
        <f t="shared" si="43"/>
        <v/>
      </c>
      <c r="U205" s="609" t="str">
        <f t="shared" si="43"/>
        <v/>
      </c>
      <c r="V205" s="609" t="str">
        <f t="shared" si="43"/>
        <v/>
      </c>
      <c r="W205" s="609" t="str">
        <f t="shared" si="43"/>
        <v/>
      </c>
      <c r="X205" s="609" t="str">
        <f t="shared" si="43"/>
        <v/>
      </c>
      <c r="Y205" s="609" t="str">
        <f t="shared" si="43"/>
        <v/>
      </c>
      <c r="Z205" s="609" t="str">
        <f t="shared" si="43"/>
        <v/>
      </c>
      <c r="AA205" s="609" t="str">
        <f t="shared" si="43"/>
        <v/>
      </c>
      <c r="AB205" s="609" t="str">
        <f t="shared" si="43"/>
        <v/>
      </c>
      <c r="AC205" s="609" t="str">
        <f t="shared" si="43"/>
        <v/>
      </c>
      <c r="AD205" s="609" t="str">
        <f t="shared" si="43"/>
        <v/>
      </c>
      <c r="AE205" s="609" t="str">
        <f t="shared" si="43"/>
        <v/>
      </c>
      <c r="AF205" s="609" t="str">
        <f t="shared" si="43"/>
        <v/>
      </c>
      <c r="AG205" s="609" t="str">
        <f t="shared" si="43"/>
        <v/>
      </c>
      <c r="AH205" s="609" t="str">
        <f t="shared" si="43"/>
        <v/>
      </c>
      <c r="AI205" s="609" t="str">
        <f t="shared" si="43"/>
        <v/>
      </c>
      <c r="AJ205" s="609" t="str">
        <f t="shared" si="43"/>
        <v/>
      </c>
      <c r="AK205" s="609" t="str">
        <f t="shared" si="43"/>
        <v/>
      </c>
      <c r="AL205" s="609" t="str">
        <f t="shared" si="43"/>
        <v/>
      </c>
      <c r="AM205" s="609" t="str">
        <f t="shared" si="43"/>
        <v/>
      </c>
      <c r="AN205" s="609" t="str">
        <f t="shared" si="43"/>
        <v/>
      </c>
      <c r="AO205" s="609" t="str">
        <f t="shared" si="43"/>
        <v/>
      </c>
      <c r="AP205" s="609" t="str">
        <f t="shared" si="43"/>
        <v/>
      </c>
      <c r="AQ205" s="609" t="str">
        <f t="shared" si="43"/>
        <v/>
      </c>
      <c r="AR205" s="609" t="str">
        <f t="shared" si="43"/>
        <v/>
      </c>
      <c r="AS205" s="609" t="str">
        <f t="shared" si="43"/>
        <v/>
      </c>
      <c r="AT205" s="609" t="str">
        <f t="shared" si="43"/>
        <v/>
      </c>
      <c r="AU205" s="609" t="str">
        <f t="shared" si="43"/>
        <v/>
      </c>
      <c r="AV205" s="609" t="str">
        <f t="shared" si="43"/>
        <v/>
      </c>
      <c r="AW205" s="609" t="str">
        <f t="shared" si="43"/>
        <v/>
      </c>
      <c r="AX205" s="609" t="str">
        <f t="shared" si="43"/>
        <v/>
      </c>
      <c r="AY205" s="609" t="str">
        <f t="shared" si="43"/>
        <v/>
      </c>
      <c r="AZ205" s="609" t="str">
        <f t="shared" si="43"/>
        <v/>
      </c>
      <c r="BA205" s="609" t="str">
        <f t="shared" si="43"/>
        <v/>
      </c>
      <c r="BB205" s="609" t="str">
        <f t="shared" si="43"/>
        <v/>
      </c>
      <c r="BC205" s="609" t="str">
        <f t="shared" si="43"/>
        <v/>
      </c>
      <c r="BD205" s="609" t="str">
        <f t="shared" si="43"/>
        <v/>
      </c>
      <c r="BE205" s="609" t="str">
        <f t="shared" si="43"/>
        <v/>
      </c>
      <c r="BF205" s="609" t="str">
        <f t="shared" si="43"/>
        <v/>
      </c>
      <c r="BG205" s="609" t="str">
        <f t="shared" si="43"/>
        <v/>
      </c>
    </row>
    <row r="206" spans="2:59" x14ac:dyDescent="0.25">
      <c r="B206" s="654">
        <v>200</v>
      </c>
      <c r="C206" s="654"/>
      <c r="D206" s="654"/>
      <c r="E206" s="655"/>
      <c r="F206" s="654"/>
      <c r="H206" s="609" t="str">
        <f t="shared" si="42"/>
        <v/>
      </c>
      <c r="I206" s="609" t="str">
        <f t="shared" si="43"/>
        <v/>
      </c>
      <c r="J206" s="609" t="str">
        <f t="shared" si="43"/>
        <v/>
      </c>
      <c r="K206" s="609" t="str">
        <f t="shared" si="43"/>
        <v/>
      </c>
      <c r="L206" s="609" t="str">
        <f t="shared" si="43"/>
        <v/>
      </c>
      <c r="M206" s="609" t="str">
        <f t="shared" si="43"/>
        <v/>
      </c>
      <c r="N206" s="609" t="str">
        <f t="shared" si="43"/>
        <v/>
      </c>
      <c r="O206" s="609" t="str">
        <f t="shared" si="43"/>
        <v/>
      </c>
      <c r="P206" s="609" t="str">
        <f t="shared" si="43"/>
        <v/>
      </c>
      <c r="Q206" s="609" t="str">
        <f t="shared" si="43"/>
        <v/>
      </c>
      <c r="R206" s="609" t="str">
        <f t="shared" si="43"/>
        <v/>
      </c>
      <c r="S206" s="609" t="str">
        <f t="shared" si="43"/>
        <v/>
      </c>
      <c r="T206" s="609" t="str">
        <f t="shared" si="43"/>
        <v/>
      </c>
      <c r="U206" s="609" t="str">
        <f t="shared" si="43"/>
        <v/>
      </c>
      <c r="V206" s="609" t="str">
        <f t="shared" si="43"/>
        <v/>
      </c>
      <c r="W206" s="609" t="str">
        <f t="shared" si="43"/>
        <v/>
      </c>
      <c r="X206" s="609" t="str">
        <f t="shared" si="43"/>
        <v/>
      </c>
      <c r="Y206" s="609" t="str">
        <f t="shared" si="43"/>
        <v/>
      </c>
      <c r="Z206" s="609" t="str">
        <f t="shared" si="43"/>
        <v/>
      </c>
      <c r="AA206" s="609" t="str">
        <f t="shared" si="43"/>
        <v/>
      </c>
      <c r="AB206" s="609" t="str">
        <f t="shared" si="43"/>
        <v/>
      </c>
      <c r="AC206" s="609" t="str">
        <f t="shared" si="43"/>
        <v/>
      </c>
      <c r="AD206" s="609" t="str">
        <f t="shared" si="43"/>
        <v/>
      </c>
      <c r="AE206" s="609" t="str">
        <f t="shared" si="43"/>
        <v/>
      </c>
      <c r="AF206" s="609" t="str">
        <f t="shared" si="43"/>
        <v/>
      </c>
      <c r="AG206" s="609" t="str">
        <f t="shared" si="43"/>
        <v/>
      </c>
      <c r="AH206" s="609" t="str">
        <f t="shared" si="43"/>
        <v/>
      </c>
      <c r="AI206" s="609" t="str">
        <f t="shared" si="43"/>
        <v/>
      </c>
      <c r="AJ206" s="609" t="str">
        <f t="shared" si="43"/>
        <v/>
      </c>
      <c r="AK206" s="609" t="str">
        <f t="shared" si="43"/>
        <v/>
      </c>
      <c r="AL206" s="609" t="str">
        <f t="shared" si="43"/>
        <v/>
      </c>
      <c r="AM206" s="609" t="str">
        <f t="shared" si="43"/>
        <v/>
      </c>
      <c r="AN206" s="609" t="str">
        <f t="shared" si="43"/>
        <v/>
      </c>
      <c r="AO206" s="609" t="str">
        <f t="shared" si="43"/>
        <v/>
      </c>
      <c r="AP206" s="609" t="str">
        <f t="shared" si="43"/>
        <v/>
      </c>
      <c r="AQ206" s="609" t="str">
        <f t="shared" si="43"/>
        <v/>
      </c>
      <c r="AR206" s="609" t="str">
        <f t="shared" si="43"/>
        <v/>
      </c>
      <c r="AS206" s="609" t="str">
        <f t="shared" si="43"/>
        <v/>
      </c>
      <c r="AT206" s="609" t="str">
        <f t="shared" si="43"/>
        <v/>
      </c>
      <c r="AU206" s="609" t="str">
        <f t="shared" si="43"/>
        <v/>
      </c>
      <c r="AV206" s="609" t="str">
        <f t="shared" si="43"/>
        <v/>
      </c>
      <c r="AW206" s="609" t="str">
        <f t="shared" si="43"/>
        <v/>
      </c>
      <c r="AX206" s="609" t="str">
        <f t="shared" si="43"/>
        <v/>
      </c>
      <c r="AY206" s="609" t="str">
        <f t="shared" si="43"/>
        <v/>
      </c>
      <c r="AZ206" s="609" t="str">
        <f t="shared" si="43"/>
        <v/>
      </c>
      <c r="BA206" s="609" t="str">
        <f t="shared" si="43"/>
        <v/>
      </c>
      <c r="BB206" s="609" t="str">
        <f t="shared" si="43"/>
        <v/>
      </c>
      <c r="BC206" s="609" t="str">
        <f t="shared" si="43"/>
        <v/>
      </c>
      <c r="BD206" s="609" t="str">
        <f t="shared" si="43"/>
        <v/>
      </c>
      <c r="BE206" s="609" t="str">
        <f t="shared" si="43"/>
        <v/>
      </c>
      <c r="BF206" s="609" t="str">
        <f t="shared" si="43"/>
        <v/>
      </c>
      <c r="BG206" s="609" t="str">
        <f t="shared" si="43"/>
        <v/>
      </c>
    </row>
    <row r="207" spans="2:59" x14ac:dyDescent="0.25">
      <c r="B207" s="654">
        <v>201</v>
      </c>
      <c r="C207" s="654"/>
      <c r="D207" s="654"/>
      <c r="E207" s="655"/>
      <c r="F207" s="654"/>
      <c r="H207" s="609" t="str">
        <f t="shared" si="42"/>
        <v/>
      </c>
      <c r="I207" s="609" t="str">
        <f t="shared" si="43"/>
        <v/>
      </c>
      <c r="J207" s="609" t="str">
        <f t="shared" si="43"/>
        <v/>
      </c>
      <c r="K207" s="609" t="str">
        <f t="shared" si="43"/>
        <v/>
      </c>
      <c r="L207" s="609" t="str">
        <f t="shared" si="43"/>
        <v/>
      </c>
      <c r="M207" s="609" t="str">
        <f t="shared" si="43"/>
        <v/>
      </c>
      <c r="N207" s="609" t="str">
        <f t="shared" si="43"/>
        <v/>
      </c>
      <c r="O207" s="609" t="str">
        <f t="shared" si="43"/>
        <v/>
      </c>
      <c r="P207" s="609" t="str">
        <f t="shared" si="43"/>
        <v/>
      </c>
      <c r="Q207" s="609" t="str">
        <f t="shared" si="43"/>
        <v/>
      </c>
      <c r="R207" s="609" t="str">
        <f t="shared" si="43"/>
        <v/>
      </c>
      <c r="S207" s="609" t="str">
        <f t="shared" si="43"/>
        <v/>
      </c>
      <c r="T207" s="609" t="str">
        <f t="shared" si="43"/>
        <v/>
      </c>
      <c r="U207" s="609" t="str">
        <f t="shared" si="43"/>
        <v/>
      </c>
      <c r="V207" s="609" t="str">
        <f t="shared" si="43"/>
        <v/>
      </c>
      <c r="W207" s="609" t="str">
        <f t="shared" si="43"/>
        <v/>
      </c>
      <c r="X207" s="609" t="str">
        <f t="shared" si="43"/>
        <v/>
      </c>
      <c r="Y207" s="609" t="str">
        <f t="shared" si="43"/>
        <v/>
      </c>
      <c r="Z207" s="609" t="str">
        <f t="shared" si="43"/>
        <v/>
      </c>
      <c r="AA207" s="609" t="str">
        <f t="shared" si="43"/>
        <v/>
      </c>
      <c r="AB207" s="609" t="str">
        <f t="shared" si="43"/>
        <v/>
      </c>
      <c r="AC207" s="609" t="str">
        <f t="shared" si="43"/>
        <v/>
      </c>
      <c r="AD207" s="609" t="str">
        <f t="shared" si="43"/>
        <v/>
      </c>
      <c r="AE207" s="609" t="str">
        <f t="shared" si="43"/>
        <v/>
      </c>
      <c r="AF207" s="609" t="str">
        <f t="shared" si="43"/>
        <v/>
      </c>
      <c r="AG207" s="609" t="str">
        <f t="shared" si="43"/>
        <v/>
      </c>
      <c r="AH207" s="609" t="str">
        <f t="shared" si="43"/>
        <v/>
      </c>
      <c r="AI207" s="609" t="str">
        <f t="shared" si="43"/>
        <v/>
      </c>
      <c r="AJ207" s="609" t="str">
        <f t="shared" si="43"/>
        <v/>
      </c>
      <c r="AK207" s="609" t="str">
        <f t="shared" si="43"/>
        <v/>
      </c>
      <c r="AL207" s="609" t="str">
        <f t="shared" si="43"/>
        <v/>
      </c>
      <c r="AM207" s="609" t="str">
        <f t="shared" si="43"/>
        <v/>
      </c>
      <c r="AN207" s="609" t="str">
        <f t="shared" si="43"/>
        <v/>
      </c>
      <c r="AO207" s="609" t="str">
        <f t="shared" si="43"/>
        <v/>
      </c>
      <c r="AP207" s="609" t="str">
        <f t="shared" si="43"/>
        <v/>
      </c>
      <c r="AQ207" s="609" t="str">
        <f t="shared" si="43"/>
        <v/>
      </c>
      <c r="AR207" s="609" t="str">
        <f t="shared" si="43"/>
        <v/>
      </c>
      <c r="AS207" s="609" t="str">
        <f t="shared" si="43"/>
        <v/>
      </c>
      <c r="AT207" s="609" t="str">
        <f t="shared" si="43"/>
        <v/>
      </c>
      <c r="AU207" s="609" t="str">
        <f t="shared" si="43"/>
        <v/>
      </c>
      <c r="AV207" s="609" t="str">
        <f t="shared" si="43"/>
        <v/>
      </c>
      <c r="AW207" s="609" t="str">
        <f t="shared" si="43"/>
        <v/>
      </c>
      <c r="AX207" s="609" t="str">
        <f t="shared" si="43"/>
        <v/>
      </c>
      <c r="AY207" s="609" t="str">
        <f t="shared" si="43"/>
        <v/>
      </c>
      <c r="AZ207" s="609" t="str">
        <f t="shared" si="43"/>
        <v/>
      </c>
      <c r="BA207" s="609" t="str">
        <f t="shared" si="43"/>
        <v/>
      </c>
      <c r="BB207" s="609" t="str">
        <f t="shared" si="43"/>
        <v/>
      </c>
      <c r="BC207" s="609" t="str">
        <f t="shared" si="43"/>
        <v/>
      </c>
      <c r="BD207" s="609" t="str">
        <f t="shared" si="43"/>
        <v/>
      </c>
      <c r="BE207" s="609" t="str">
        <f t="shared" si="43"/>
        <v/>
      </c>
      <c r="BF207" s="609" t="str">
        <f t="shared" si="43"/>
        <v/>
      </c>
      <c r="BG207" s="609" t="str">
        <f t="shared" si="43"/>
        <v/>
      </c>
    </row>
    <row r="208" spans="2:59" x14ac:dyDescent="0.25">
      <c r="B208" s="654">
        <v>202</v>
      </c>
      <c r="C208" s="654"/>
      <c r="D208" s="654"/>
      <c r="E208" s="655"/>
      <c r="F208" s="654"/>
      <c r="H208" s="609" t="str">
        <f t="shared" si="42"/>
        <v/>
      </c>
      <c r="I208" s="609" t="str">
        <f t="shared" si="43"/>
        <v/>
      </c>
      <c r="J208" s="609" t="str">
        <f t="shared" si="43"/>
        <v/>
      </c>
      <c r="K208" s="609" t="str">
        <f t="shared" si="43"/>
        <v/>
      </c>
      <c r="L208" s="609" t="str">
        <f t="shared" si="43"/>
        <v/>
      </c>
      <c r="M208" s="609" t="str">
        <f t="shared" si="43"/>
        <v/>
      </c>
      <c r="N208" s="609" t="str">
        <f t="shared" si="43"/>
        <v/>
      </c>
      <c r="O208" s="609" t="str">
        <f t="shared" si="43"/>
        <v/>
      </c>
      <c r="P208" s="609" t="str">
        <f t="shared" si="43"/>
        <v/>
      </c>
      <c r="Q208" s="609" t="str">
        <f t="shared" si="43"/>
        <v/>
      </c>
      <c r="R208" s="609" t="str">
        <f t="shared" ref="I208:BG213" si="44">IF($D208=R$6,$B208&amp;", ","")</f>
        <v/>
      </c>
      <c r="S208" s="609" t="str">
        <f t="shared" si="44"/>
        <v/>
      </c>
      <c r="T208" s="609" t="str">
        <f t="shared" si="44"/>
        <v/>
      </c>
      <c r="U208" s="609" t="str">
        <f t="shared" si="44"/>
        <v/>
      </c>
      <c r="V208" s="609" t="str">
        <f t="shared" si="44"/>
        <v/>
      </c>
      <c r="W208" s="609" t="str">
        <f t="shared" si="44"/>
        <v/>
      </c>
      <c r="X208" s="609" t="str">
        <f t="shared" si="44"/>
        <v/>
      </c>
      <c r="Y208" s="609" t="str">
        <f t="shared" si="44"/>
        <v/>
      </c>
      <c r="Z208" s="609" t="str">
        <f t="shared" si="44"/>
        <v/>
      </c>
      <c r="AA208" s="609" t="str">
        <f t="shared" si="44"/>
        <v/>
      </c>
      <c r="AB208" s="609" t="str">
        <f t="shared" si="44"/>
        <v/>
      </c>
      <c r="AC208" s="609" t="str">
        <f t="shared" si="44"/>
        <v/>
      </c>
      <c r="AD208" s="609" t="str">
        <f t="shared" si="44"/>
        <v/>
      </c>
      <c r="AE208" s="609" t="str">
        <f t="shared" si="44"/>
        <v/>
      </c>
      <c r="AF208" s="609" t="str">
        <f t="shared" si="44"/>
        <v/>
      </c>
      <c r="AG208" s="609" t="str">
        <f t="shared" si="44"/>
        <v/>
      </c>
      <c r="AH208" s="609" t="str">
        <f t="shared" si="44"/>
        <v/>
      </c>
      <c r="AI208" s="609" t="str">
        <f t="shared" si="44"/>
        <v/>
      </c>
      <c r="AJ208" s="609" t="str">
        <f t="shared" si="44"/>
        <v/>
      </c>
      <c r="AK208" s="609" t="str">
        <f t="shared" si="44"/>
        <v/>
      </c>
      <c r="AL208" s="609" t="str">
        <f t="shared" si="44"/>
        <v/>
      </c>
      <c r="AM208" s="609" t="str">
        <f t="shared" si="44"/>
        <v/>
      </c>
      <c r="AN208" s="609" t="str">
        <f t="shared" si="44"/>
        <v/>
      </c>
      <c r="AO208" s="609" t="str">
        <f t="shared" si="44"/>
        <v/>
      </c>
      <c r="AP208" s="609" t="str">
        <f t="shared" si="44"/>
        <v/>
      </c>
      <c r="AQ208" s="609" t="str">
        <f t="shared" si="44"/>
        <v/>
      </c>
      <c r="AR208" s="609" t="str">
        <f t="shared" si="44"/>
        <v/>
      </c>
      <c r="AS208" s="609" t="str">
        <f t="shared" si="44"/>
        <v/>
      </c>
      <c r="AT208" s="609" t="str">
        <f t="shared" si="44"/>
        <v/>
      </c>
      <c r="AU208" s="609" t="str">
        <f t="shared" si="44"/>
        <v/>
      </c>
      <c r="AV208" s="609" t="str">
        <f t="shared" si="44"/>
        <v/>
      </c>
      <c r="AW208" s="609" t="str">
        <f t="shared" si="44"/>
        <v/>
      </c>
      <c r="AX208" s="609" t="str">
        <f t="shared" si="44"/>
        <v/>
      </c>
      <c r="AY208" s="609" t="str">
        <f t="shared" si="44"/>
        <v/>
      </c>
      <c r="AZ208" s="609" t="str">
        <f t="shared" si="44"/>
        <v/>
      </c>
      <c r="BA208" s="609" t="str">
        <f t="shared" si="44"/>
        <v/>
      </c>
      <c r="BB208" s="609" t="str">
        <f t="shared" si="44"/>
        <v/>
      </c>
      <c r="BC208" s="609" t="str">
        <f t="shared" si="44"/>
        <v/>
      </c>
      <c r="BD208" s="609" t="str">
        <f t="shared" si="44"/>
        <v/>
      </c>
      <c r="BE208" s="609" t="str">
        <f t="shared" si="44"/>
        <v/>
      </c>
      <c r="BF208" s="609" t="str">
        <f t="shared" si="44"/>
        <v/>
      </c>
      <c r="BG208" s="609" t="str">
        <f t="shared" si="44"/>
        <v/>
      </c>
    </row>
    <row r="209" spans="2:59" x14ac:dyDescent="0.25">
      <c r="B209" s="654">
        <v>203</v>
      </c>
      <c r="C209" s="654"/>
      <c r="D209" s="654"/>
      <c r="E209" s="655"/>
      <c r="F209" s="654"/>
      <c r="H209" s="609" t="str">
        <f t="shared" si="42"/>
        <v/>
      </c>
      <c r="I209" s="609" t="str">
        <f t="shared" si="44"/>
        <v/>
      </c>
      <c r="J209" s="609" t="str">
        <f t="shared" si="44"/>
        <v/>
      </c>
      <c r="K209" s="609" t="str">
        <f t="shared" si="44"/>
        <v/>
      </c>
      <c r="L209" s="609" t="str">
        <f t="shared" si="44"/>
        <v/>
      </c>
      <c r="M209" s="609" t="str">
        <f t="shared" si="44"/>
        <v/>
      </c>
      <c r="N209" s="609" t="str">
        <f t="shared" si="44"/>
        <v/>
      </c>
      <c r="O209" s="609" t="str">
        <f t="shared" si="44"/>
        <v/>
      </c>
      <c r="P209" s="609" t="str">
        <f t="shared" si="44"/>
        <v/>
      </c>
      <c r="Q209" s="609" t="str">
        <f t="shared" si="44"/>
        <v/>
      </c>
      <c r="R209" s="609" t="str">
        <f t="shared" si="44"/>
        <v/>
      </c>
      <c r="S209" s="609" t="str">
        <f t="shared" si="44"/>
        <v/>
      </c>
      <c r="T209" s="609" t="str">
        <f t="shared" si="44"/>
        <v/>
      </c>
      <c r="U209" s="609" t="str">
        <f t="shared" si="44"/>
        <v/>
      </c>
      <c r="V209" s="609" t="str">
        <f t="shared" si="44"/>
        <v/>
      </c>
      <c r="W209" s="609" t="str">
        <f t="shared" si="44"/>
        <v/>
      </c>
      <c r="X209" s="609" t="str">
        <f t="shared" si="44"/>
        <v/>
      </c>
      <c r="Y209" s="609" t="str">
        <f t="shared" si="44"/>
        <v/>
      </c>
      <c r="Z209" s="609" t="str">
        <f t="shared" si="44"/>
        <v/>
      </c>
      <c r="AA209" s="609" t="str">
        <f t="shared" si="44"/>
        <v/>
      </c>
      <c r="AB209" s="609" t="str">
        <f t="shared" si="44"/>
        <v/>
      </c>
      <c r="AC209" s="609" t="str">
        <f t="shared" si="44"/>
        <v/>
      </c>
      <c r="AD209" s="609" t="str">
        <f t="shared" si="44"/>
        <v/>
      </c>
      <c r="AE209" s="609" t="str">
        <f t="shared" si="44"/>
        <v/>
      </c>
      <c r="AF209" s="609" t="str">
        <f t="shared" si="44"/>
        <v/>
      </c>
      <c r="AG209" s="609" t="str">
        <f t="shared" si="44"/>
        <v/>
      </c>
      <c r="AH209" s="609" t="str">
        <f t="shared" si="44"/>
        <v/>
      </c>
      <c r="AI209" s="609" t="str">
        <f t="shared" si="44"/>
        <v/>
      </c>
      <c r="AJ209" s="609" t="str">
        <f t="shared" si="44"/>
        <v/>
      </c>
      <c r="AK209" s="609" t="str">
        <f t="shared" si="44"/>
        <v/>
      </c>
      <c r="AL209" s="609" t="str">
        <f t="shared" si="44"/>
        <v/>
      </c>
      <c r="AM209" s="609" t="str">
        <f t="shared" si="44"/>
        <v/>
      </c>
      <c r="AN209" s="609" t="str">
        <f t="shared" si="44"/>
        <v/>
      </c>
      <c r="AO209" s="609" t="str">
        <f t="shared" si="44"/>
        <v/>
      </c>
      <c r="AP209" s="609" t="str">
        <f t="shared" si="44"/>
        <v/>
      </c>
      <c r="AQ209" s="609" t="str">
        <f t="shared" si="44"/>
        <v/>
      </c>
      <c r="AR209" s="609" t="str">
        <f t="shared" si="44"/>
        <v/>
      </c>
      <c r="AS209" s="609" t="str">
        <f t="shared" si="44"/>
        <v/>
      </c>
      <c r="AT209" s="609" t="str">
        <f t="shared" si="44"/>
        <v/>
      </c>
      <c r="AU209" s="609" t="str">
        <f t="shared" si="44"/>
        <v/>
      </c>
      <c r="AV209" s="609" t="str">
        <f t="shared" si="44"/>
        <v/>
      </c>
      <c r="AW209" s="609" t="str">
        <f t="shared" si="44"/>
        <v/>
      </c>
      <c r="AX209" s="609" t="str">
        <f t="shared" si="44"/>
        <v/>
      </c>
      <c r="AY209" s="609" t="str">
        <f t="shared" si="44"/>
        <v/>
      </c>
      <c r="AZ209" s="609" t="str">
        <f t="shared" si="44"/>
        <v/>
      </c>
      <c r="BA209" s="609" t="str">
        <f t="shared" si="44"/>
        <v/>
      </c>
      <c r="BB209" s="609" t="str">
        <f t="shared" si="44"/>
        <v/>
      </c>
      <c r="BC209" s="609" t="str">
        <f t="shared" si="44"/>
        <v/>
      </c>
      <c r="BD209" s="609" t="str">
        <f t="shared" si="44"/>
        <v/>
      </c>
      <c r="BE209" s="609" t="str">
        <f t="shared" si="44"/>
        <v/>
      </c>
      <c r="BF209" s="609" t="str">
        <f t="shared" si="44"/>
        <v/>
      </c>
      <c r="BG209" s="609" t="str">
        <f t="shared" si="44"/>
        <v/>
      </c>
    </row>
    <row r="210" spans="2:59" x14ac:dyDescent="0.25">
      <c r="B210" s="654">
        <v>204</v>
      </c>
      <c r="C210" s="654"/>
      <c r="D210" s="654"/>
      <c r="E210" s="655"/>
      <c r="F210" s="654"/>
      <c r="H210" s="609" t="str">
        <f t="shared" si="42"/>
        <v/>
      </c>
      <c r="I210" s="609" t="str">
        <f t="shared" si="44"/>
        <v/>
      </c>
      <c r="J210" s="609" t="str">
        <f t="shared" si="44"/>
        <v/>
      </c>
      <c r="K210" s="609" t="str">
        <f t="shared" si="44"/>
        <v/>
      </c>
      <c r="L210" s="609" t="str">
        <f t="shared" si="44"/>
        <v/>
      </c>
      <c r="M210" s="609" t="str">
        <f t="shared" si="44"/>
        <v/>
      </c>
      <c r="N210" s="609" t="str">
        <f t="shared" si="44"/>
        <v/>
      </c>
      <c r="O210" s="609" t="str">
        <f t="shared" si="44"/>
        <v/>
      </c>
      <c r="P210" s="609" t="str">
        <f t="shared" si="44"/>
        <v/>
      </c>
      <c r="Q210" s="609" t="str">
        <f t="shared" si="44"/>
        <v/>
      </c>
      <c r="R210" s="609" t="str">
        <f t="shared" si="44"/>
        <v/>
      </c>
      <c r="S210" s="609" t="str">
        <f t="shared" si="44"/>
        <v/>
      </c>
      <c r="T210" s="609" t="str">
        <f t="shared" si="44"/>
        <v/>
      </c>
      <c r="U210" s="609" t="str">
        <f t="shared" si="44"/>
        <v/>
      </c>
      <c r="V210" s="609" t="str">
        <f t="shared" si="44"/>
        <v/>
      </c>
      <c r="W210" s="609" t="str">
        <f t="shared" si="44"/>
        <v/>
      </c>
      <c r="X210" s="609" t="str">
        <f t="shared" si="44"/>
        <v/>
      </c>
      <c r="Y210" s="609" t="str">
        <f t="shared" si="44"/>
        <v/>
      </c>
      <c r="Z210" s="609" t="str">
        <f t="shared" si="44"/>
        <v/>
      </c>
      <c r="AA210" s="609" t="str">
        <f t="shared" si="44"/>
        <v/>
      </c>
      <c r="AB210" s="609" t="str">
        <f t="shared" si="44"/>
        <v/>
      </c>
      <c r="AC210" s="609" t="str">
        <f t="shared" si="44"/>
        <v/>
      </c>
      <c r="AD210" s="609" t="str">
        <f t="shared" si="44"/>
        <v/>
      </c>
      <c r="AE210" s="609" t="str">
        <f t="shared" si="44"/>
        <v/>
      </c>
      <c r="AF210" s="609" t="str">
        <f t="shared" si="44"/>
        <v/>
      </c>
      <c r="AG210" s="609" t="str">
        <f t="shared" si="44"/>
        <v/>
      </c>
      <c r="AH210" s="609" t="str">
        <f t="shared" si="44"/>
        <v/>
      </c>
      <c r="AI210" s="609" t="str">
        <f t="shared" si="44"/>
        <v/>
      </c>
      <c r="AJ210" s="609" t="str">
        <f t="shared" si="44"/>
        <v/>
      </c>
      <c r="AK210" s="609" t="str">
        <f t="shared" si="44"/>
        <v/>
      </c>
      <c r="AL210" s="609" t="str">
        <f t="shared" si="44"/>
        <v/>
      </c>
      <c r="AM210" s="609" t="str">
        <f t="shared" si="44"/>
        <v/>
      </c>
      <c r="AN210" s="609" t="str">
        <f t="shared" si="44"/>
        <v/>
      </c>
      <c r="AO210" s="609" t="str">
        <f t="shared" si="44"/>
        <v/>
      </c>
      <c r="AP210" s="609" t="str">
        <f t="shared" si="44"/>
        <v/>
      </c>
      <c r="AQ210" s="609" t="str">
        <f t="shared" si="44"/>
        <v/>
      </c>
      <c r="AR210" s="609" t="str">
        <f t="shared" si="44"/>
        <v/>
      </c>
      <c r="AS210" s="609" t="str">
        <f t="shared" si="44"/>
        <v/>
      </c>
      <c r="AT210" s="609" t="str">
        <f t="shared" si="44"/>
        <v/>
      </c>
      <c r="AU210" s="609" t="str">
        <f t="shared" si="44"/>
        <v/>
      </c>
      <c r="AV210" s="609" t="str">
        <f t="shared" si="44"/>
        <v/>
      </c>
      <c r="AW210" s="609" t="str">
        <f t="shared" si="44"/>
        <v/>
      </c>
      <c r="AX210" s="609" t="str">
        <f t="shared" si="44"/>
        <v/>
      </c>
      <c r="AY210" s="609" t="str">
        <f t="shared" si="44"/>
        <v/>
      </c>
      <c r="AZ210" s="609" t="str">
        <f t="shared" si="44"/>
        <v/>
      </c>
      <c r="BA210" s="609" t="str">
        <f t="shared" si="44"/>
        <v/>
      </c>
      <c r="BB210" s="609" t="str">
        <f t="shared" si="44"/>
        <v/>
      </c>
      <c r="BC210" s="609" t="str">
        <f t="shared" si="44"/>
        <v/>
      </c>
      <c r="BD210" s="609" t="str">
        <f t="shared" si="44"/>
        <v/>
      </c>
      <c r="BE210" s="609" t="str">
        <f t="shared" si="44"/>
        <v/>
      </c>
      <c r="BF210" s="609" t="str">
        <f t="shared" si="44"/>
        <v/>
      </c>
      <c r="BG210" s="609" t="str">
        <f t="shared" si="44"/>
        <v/>
      </c>
    </row>
    <row r="211" spans="2:59" x14ac:dyDescent="0.25">
      <c r="B211" s="654">
        <v>205</v>
      </c>
      <c r="C211" s="654"/>
      <c r="D211" s="654"/>
      <c r="E211" s="655"/>
      <c r="F211" s="654"/>
      <c r="H211" s="609" t="str">
        <f t="shared" si="42"/>
        <v/>
      </c>
      <c r="I211" s="609" t="str">
        <f t="shared" si="44"/>
        <v/>
      </c>
      <c r="J211" s="609" t="str">
        <f t="shared" si="44"/>
        <v/>
      </c>
      <c r="K211" s="609" t="str">
        <f t="shared" si="44"/>
        <v/>
      </c>
      <c r="L211" s="609" t="str">
        <f t="shared" si="44"/>
        <v/>
      </c>
      <c r="M211" s="609" t="str">
        <f t="shared" si="44"/>
        <v/>
      </c>
      <c r="N211" s="609" t="str">
        <f t="shared" si="44"/>
        <v/>
      </c>
      <c r="O211" s="609" t="str">
        <f t="shared" si="44"/>
        <v/>
      </c>
      <c r="P211" s="609" t="str">
        <f t="shared" si="44"/>
        <v/>
      </c>
      <c r="Q211" s="609" t="str">
        <f t="shared" si="44"/>
        <v/>
      </c>
      <c r="R211" s="609" t="str">
        <f t="shared" si="44"/>
        <v/>
      </c>
      <c r="S211" s="609" t="str">
        <f t="shared" si="44"/>
        <v/>
      </c>
      <c r="T211" s="609" t="str">
        <f t="shared" si="44"/>
        <v/>
      </c>
      <c r="U211" s="609" t="str">
        <f t="shared" si="44"/>
        <v/>
      </c>
      <c r="V211" s="609" t="str">
        <f t="shared" si="44"/>
        <v/>
      </c>
      <c r="W211" s="609" t="str">
        <f t="shared" si="44"/>
        <v/>
      </c>
      <c r="X211" s="609" t="str">
        <f t="shared" si="44"/>
        <v/>
      </c>
      <c r="Y211" s="609" t="str">
        <f t="shared" si="44"/>
        <v/>
      </c>
      <c r="Z211" s="609" t="str">
        <f t="shared" si="44"/>
        <v/>
      </c>
      <c r="AA211" s="609" t="str">
        <f t="shared" si="44"/>
        <v/>
      </c>
      <c r="AB211" s="609" t="str">
        <f t="shared" si="44"/>
        <v/>
      </c>
      <c r="AC211" s="609" t="str">
        <f t="shared" si="44"/>
        <v/>
      </c>
      <c r="AD211" s="609" t="str">
        <f t="shared" si="44"/>
        <v/>
      </c>
      <c r="AE211" s="609" t="str">
        <f t="shared" si="44"/>
        <v/>
      </c>
      <c r="AF211" s="609" t="str">
        <f t="shared" si="44"/>
        <v/>
      </c>
      <c r="AG211" s="609" t="str">
        <f t="shared" si="44"/>
        <v/>
      </c>
      <c r="AH211" s="609" t="str">
        <f t="shared" si="44"/>
        <v/>
      </c>
      <c r="AI211" s="609" t="str">
        <f t="shared" si="44"/>
        <v/>
      </c>
      <c r="AJ211" s="609" t="str">
        <f t="shared" si="44"/>
        <v/>
      </c>
      <c r="AK211" s="609" t="str">
        <f t="shared" si="44"/>
        <v/>
      </c>
      <c r="AL211" s="609" t="str">
        <f t="shared" si="44"/>
        <v/>
      </c>
      <c r="AM211" s="609" t="str">
        <f t="shared" si="44"/>
        <v/>
      </c>
      <c r="AN211" s="609" t="str">
        <f t="shared" si="44"/>
        <v/>
      </c>
      <c r="AO211" s="609" t="str">
        <f t="shared" si="44"/>
        <v/>
      </c>
      <c r="AP211" s="609" t="str">
        <f t="shared" si="44"/>
        <v/>
      </c>
      <c r="AQ211" s="609" t="str">
        <f t="shared" si="44"/>
        <v/>
      </c>
      <c r="AR211" s="609" t="str">
        <f t="shared" si="44"/>
        <v/>
      </c>
      <c r="AS211" s="609" t="str">
        <f t="shared" si="44"/>
        <v/>
      </c>
      <c r="AT211" s="609" t="str">
        <f t="shared" si="44"/>
        <v/>
      </c>
      <c r="AU211" s="609" t="str">
        <f t="shared" si="44"/>
        <v/>
      </c>
      <c r="AV211" s="609" t="str">
        <f t="shared" si="44"/>
        <v/>
      </c>
      <c r="AW211" s="609" t="str">
        <f t="shared" si="44"/>
        <v/>
      </c>
      <c r="AX211" s="609" t="str">
        <f t="shared" si="44"/>
        <v/>
      </c>
      <c r="AY211" s="609" t="str">
        <f t="shared" si="44"/>
        <v/>
      </c>
      <c r="AZ211" s="609" t="str">
        <f t="shared" si="44"/>
        <v/>
      </c>
      <c r="BA211" s="609" t="str">
        <f t="shared" si="44"/>
        <v/>
      </c>
      <c r="BB211" s="609" t="str">
        <f t="shared" si="44"/>
        <v/>
      </c>
      <c r="BC211" s="609" t="str">
        <f t="shared" si="44"/>
        <v/>
      </c>
      <c r="BD211" s="609" t="str">
        <f t="shared" si="44"/>
        <v/>
      </c>
      <c r="BE211" s="609" t="str">
        <f t="shared" si="44"/>
        <v/>
      </c>
      <c r="BF211" s="609" t="str">
        <f t="shared" si="44"/>
        <v/>
      </c>
      <c r="BG211" s="609" t="str">
        <f t="shared" si="44"/>
        <v/>
      </c>
    </row>
    <row r="212" spans="2:59" x14ac:dyDescent="0.25">
      <c r="B212" s="654">
        <v>206</v>
      </c>
      <c r="C212" s="654"/>
      <c r="D212" s="654"/>
      <c r="E212" s="655"/>
      <c r="F212" s="654"/>
      <c r="H212" s="609" t="str">
        <f t="shared" si="42"/>
        <v/>
      </c>
      <c r="I212" s="609" t="str">
        <f t="shared" si="44"/>
        <v/>
      </c>
      <c r="J212" s="609" t="str">
        <f t="shared" si="44"/>
        <v/>
      </c>
      <c r="K212" s="609" t="str">
        <f t="shared" si="44"/>
        <v/>
      </c>
      <c r="L212" s="609" t="str">
        <f t="shared" si="44"/>
        <v/>
      </c>
      <c r="M212" s="609" t="str">
        <f t="shared" si="44"/>
        <v/>
      </c>
      <c r="N212" s="609" t="str">
        <f t="shared" si="44"/>
        <v/>
      </c>
      <c r="O212" s="609" t="str">
        <f t="shared" si="44"/>
        <v/>
      </c>
      <c r="P212" s="609" t="str">
        <f t="shared" si="44"/>
        <v/>
      </c>
      <c r="Q212" s="609" t="str">
        <f t="shared" si="44"/>
        <v/>
      </c>
      <c r="R212" s="609" t="str">
        <f t="shared" si="44"/>
        <v/>
      </c>
      <c r="S212" s="609" t="str">
        <f t="shared" si="44"/>
        <v/>
      </c>
      <c r="T212" s="609" t="str">
        <f t="shared" si="44"/>
        <v/>
      </c>
      <c r="U212" s="609" t="str">
        <f t="shared" si="44"/>
        <v/>
      </c>
      <c r="V212" s="609" t="str">
        <f t="shared" si="44"/>
        <v/>
      </c>
      <c r="W212" s="609" t="str">
        <f t="shared" si="44"/>
        <v/>
      </c>
      <c r="X212" s="609" t="str">
        <f t="shared" si="44"/>
        <v/>
      </c>
      <c r="Y212" s="609" t="str">
        <f t="shared" si="44"/>
        <v/>
      </c>
      <c r="Z212" s="609" t="str">
        <f t="shared" si="44"/>
        <v/>
      </c>
      <c r="AA212" s="609" t="str">
        <f t="shared" si="44"/>
        <v/>
      </c>
      <c r="AB212" s="609" t="str">
        <f t="shared" si="44"/>
        <v/>
      </c>
      <c r="AC212" s="609" t="str">
        <f t="shared" si="44"/>
        <v/>
      </c>
      <c r="AD212" s="609" t="str">
        <f t="shared" si="44"/>
        <v/>
      </c>
      <c r="AE212" s="609" t="str">
        <f t="shared" si="44"/>
        <v/>
      </c>
      <c r="AF212" s="609" t="str">
        <f t="shared" si="44"/>
        <v/>
      </c>
      <c r="AG212" s="609" t="str">
        <f t="shared" si="44"/>
        <v/>
      </c>
      <c r="AH212" s="609" t="str">
        <f t="shared" si="44"/>
        <v/>
      </c>
      <c r="AI212" s="609" t="str">
        <f t="shared" si="44"/>
        <v/>
      </c>
      <c r="AJ212" s="609" t="str">
        <f t="shared" si="44"/>
        <v/>
      </c>
      <c r="AK212" s="609" t="str">
        <f t="shared" si="44"/>
        <v/>
      </c>
      <c r="AL212" s="609" t="str">
        <f t="shared" si="44"/>
        <v/>
      </c>
      <c r="AM212" s="609" t="str">
        <f t="shared" si="44"/>
        <v/>
      </c>
      <c r="AN212" s="609" t="str">
        <f t="shared" si="44"/>
        <v/>
      </c>
      <c r="AO212" s="609" t="str">
        <f t="shared" si="44"/>
        <v/>
      </c>
      <c r="AP212" s="609" t="str">
        <f t="shared" si="44"/>
        <v/>
      </c>
      <c r="AQ212" s="609" t="str">
        <f t="shared" si="44"/>
        <v/>
      </c>
      <c r="AR212" s="609" t="str">
        <f t="shared" si="44"/>
        <v/>
      </c>
      <c r="AS212" s="609" t="str">
        <f t="shared" si="44"/>
        <v/>
      </c>
      <c r="AT212" s="609" t="str">
        <f t="shared" si="44"/>
        <v/>
      </c>
      <c r="AU212" s="609" t="str">
        <f t="shared" si="44"/>
        <v/>
      </c>
      <c r="AV212" s="609" t="str">
        <f t="shared" si="44"/>
        <v/>
      </c>
      <c r="AW212" s="609" t="str">
        <f t="shared" si="44"/>
        <v/>
      </c>
      <c r="AX212" s="609" t="str">
        <f t="shared" si="44"/>
        <v/>
      </c>
      <c r="AY212" s="609" t="str">
        <f t="shared" si="44"/>
        <v/>
      </c>
      <c r="AZ212" s="609" t="str">
        <f t="shared" si="44"/>
        <v/>
      </c>
      <c r="BA212" s="609" t="str">
        <f t="shared" si="44"/>
        <v/>
      </c>
      <c r="BB212" s="609" t="str">
        <f t="shared" si="44"/>
        <v/>
      </c>
      <c r="BC212" s="609" t="str">
        <f t="shared" si="44"/>
        <v/>
      </c>
      <c r="BD212" s="609" t="str">
        <f t="shared" si="44"/>
        <v/>
      </c>
      <c r="BE212" s="609" t="str">
        <f t="shared" si="44"/>
        <v/>
      </c>
      <c r="BF212" s="609" t="str">
        <f t="shared" si="44"/>
        <v/>
      </c>
      <c r="BG212" s="609" t="str">
        <f t="shared" si="44"/>
        <v/>
      </c>
    </row>
    <row r="213" spans="2:59" x14ac:dyDescent="0.25">
      <c r="B213" s="654">
        <v>207</v>
      </c>
      <c r="C213" s="654"/>
      <c r="D213" s="654"/>
      <c r="E213" s="655"/>
      <c r="F213" s="654"/>
      <c r="H213" s="609" t="str">
        <f t="shared" si="42"/>
        <v/>
      </c>
      <c r="I213" s="609" t="str">
        <f t="shared" si="44"/>
        <v/>
      </c>
      <c r="J213" s="609" t="str">
        <f t="shared" si="44"/>
        <v/>
      </c>
      <c r="K213" s="609" t="str">
        <f t="shared" si="44"/>
        <v/>
      </c>
      <c r="L213" s="609" t="str">
        <f t="shared" si="44"/>
        <v/>
      </c>
      <c r="M213" s="609" t="str">
        <f t="shared" si="44"/>
        <v/>
      </c>
      <c r="N213" s="609" t="str">
        <f t="shared" si="44"/>
        <v/>
      </c>
      <c r="O213" s="609" t="str">
        <f t="shared" si="44"/>
        <v/>
      </c>
      <c r="P213" s="609" t="str">
        <f t="shared" si="44"/>
        <v/>
      </c>
      <c r="Q213" s="609" t="str">
        <f t="shared" si="44"/>
        <v/>
      </c>
      <c r="R213" s="609" t="str">
        <f t="shared" ref="I213:BG218" si="45">IF($D213=R$6,$B213&amp;", ","")</f>
        <v/>
      </c>
      <c r="S213" s="609" t="str">
        <f t="shared" si="45"/>
        <v/>
      </c>
      <c r="T213" s="609" t="str">
        <f t="shared" si="45"/>
        <v/>
      </c>
      <c r="U213" s="609" t="str">
        <f t="shared" si="45"/>
        <v/>
      </c>
      <c r="V213" s="609" t="str">
        <f t="shared" si="45"/>
        <v/>
      </c>
      <c r="W213" s="609" t="str">
        <f t="shared" si="45"/>
        <v/>
      </c>
      <c r="X213" s="609" t="str">
        <f t="shared" si="45"/>
        <v/>
      </c>
      <c r="Y213" s="609" t="str">
        <f t="shared" si="45"/>
        <v/>
      </c>
      <c r="Z213" s="609" t="str">
        <f t="shared" si="45"/>
        <v/>
      </c>
      <c r="AA213" s="609" t="str">
        <f t="shared" si="45"/>
        <v/>
      </c>
      <c r="AB213" s="609" t="str">
        <f t="shared" si="45"/>
        <v/>
      </c>
      <c r="AC213" s="609" t="str">
        <f t="shared" si="45"/>
        <v/>
      </c>
      <c r="AD213" s="609" t="str">
        <f t="shared" si="45"/>
        <v/>
      </c>
      <c r="AE213" s="609" t="str">
        <f t="shared" si="45"/>
        <v/>
      </c>
      <c r="AF213" s="609" t="str">
        <f t="shared" si="45"/>
        <v/>
      </c>
      <c r="AG213" s="609" t="str">
        <f t="shared" si="45"/>
        <v/>
      </c>
      <c r="AH213" s="609" t="str">
        <f t="shared" si="45"/>
        <v/>
      </c>
      <c r="AI213" s="609" t="str">
        <f t="shared" si="45"/>
        <v/>
      </c>
      <c r="AJ213" s="609" t="str">
        <f t="shared" si="45"/>
        <v/>
      </c>
      <c r="AK213" s="609" t="str">
        <f t="shared" si="45"/>
        <v/>
      </c>
      <c r="AL213" s="609" t="str">
        <f t="shared" si="45"/>
        <v/>
      </c>
      <c r="AM213" s="609" t="str">
        <f t="shared" si="45"/>
        <v/>
      </c>
      <c r="AN213" s="609" t="str">
        <f t="shared" si="45"/>
        <v/>
      </c>
      <c r="AO213" s="609" t="str">
        <f t="shared" si="45"/>
        <v/>
      </c>
      <c r="AP213" s="609" t="str">
        <f t="shared" si="45"/>
        <v/>
      </c>
      <c r="AQ213" s="609" t="str">
        <f t="shared" si="45"/>
        <v/>
      </c>
      <c r="AR213" s="609" t="str">
        <f t="shared" si="45"/>
        <v/>
      </c>
      <c r="AS213" s="609" t="str">
        <f t="shared" si="45"/>
        <v/>
      </c>
      <c r="AT213" s="609" t="str">
        <f t="shared" si="45"/>
        <v/>
      </c>
      <c r="AU213" s="609" t="str">
        <f t="shared" si="45"/>
        <v/>
      </c>
      <c r="AV213" s="609" t="str">
        <f t="shared" si="45"/>
        <v/>
      </c>
      <c r="AW213" s="609" t="str">
        <f t="shared" si="45"/>
        <v/>
      </c>
      <c r="AX213" s="609" t="str">
        <f t="shared" si="45"/>
        <v/>
      </c>
      <c r="AY213" s="609" t="str">
        <f t="shared" si="45"/>
        <v/>
      </c>
      <c r="AZ213" s="609" t="str">
        <f t="shared" si="45"/>
        <v/>
      </c>
      <c r="BA213" s="609" t="str">
        <f t="shared" si="45"/>
        <v/>
      </c>
      <c r="BB213" s="609" t="str">
        <f t="shared" si="45"/>
        <v/>
      </c>
      <c r="BC213" s="609" t="str">
        <f t="shared" si="45"/>
        <v/>
      </c>
      <c r="BD213" s="609" t="str">
        <f t="shared" si="45"/>
        <v/>
      </c>
      <c r="BE213" s="609" t="str">
        <f t="shared" si="45"/>
        <v/>
      </c>
      <c r="BF213" s="609" t="str">
        <f t="shared" si="45"/>
        <v/>
      </c>
      <c r="BG213" s="609" t="str">
        <f t="shared" si="45"/>
        <v/>
      </c>
    </row>
    <row r="214" spans="2:59" x14ac:dyDescent="0.25">
      <c r="B214" s="654">
        <v>208</v>
      </c>
      <c r="C214" s="654"/>
      <c r="D214" s="654"/>
      <c r="E214" s="655"/>
      <c r="F214" s="654"/>
      <c r="H214" s="609" t="str">
        <f t="shared" si="42"/>
        <v/>
      </c>
      <c r="I214" s="609" t="str">
        <f t="shared" si="45"/>
        <v/>
      </c>
      <c r="J214" s="609" t="str">
        <f t="shared" si="45"/>
        <v/>
      </c>
      <c r="K214" s="609" t="str">
        <f t="shared" si="45"/>
        <v/>
      </c>
      <c r="L214" s="609" t="str">
        <f t="shared" si="45"/>
        <v/>
      </c>
      <c r="M214" s="609" t="str">
        <f t="shared" si="45"/>
        <v/>
      </c>
      <c r="N214" s="609" t="str">
        <f t="shared" si="45"/>
        <v/>
      </c>
      <c r="O214" s="609" t="str">
        <f t="shared" si="45"/>
        <v/>
      </c>
      <c r="P214" s="609" t="str">
        <f t="shared" si="45"/>
        <v/>
      </c>
      <c r="Q214" s="609" t="str">
        <f t="shared" si="45"/>
        <v/>
      </c>
      <c r="R214" s="609" t="str">
        <f t="shared" si="45"/>
        <v/>
      </c>
      <c r="S214" s="609" t="str">
        <f t="shared" si="45"/>
        <v/>
      </c>
      <c r="T214" s="609" t="str">
        <f t="shared" si="45"/>
        <v/>
      </c>
      <c r="U214" s="609" t="str">
        <f t="shared" si="45"/>
        <v/>
      </c>
      <c r="V214" s="609" t="str">
        <f t="shared" si="45"/>
        <v/>
      </c>
      <c r="W214" s="609" t="str">
        <f t="shared" si="45"/>
        <v/>
      </c>
      <c r="X214" s="609" t="str">
        <f t="shared" si="45"/>
        <v/>
      </c>
      <c r="Y214" s="609" t="str">
        <f t="shared" si="45"/>
        <v/>
      </c>
      <c r="Z214" s="609" t="str">
        <f t="shared" si="45"/>
        <v/>
      </c>
      <c r="AA214" s="609" t="str">
        <f t="shared" si="45"/>
        <v/>
      </c>
      <c r="AB214" s="609" t="str">
        <f t="shared" si="45"/>
        <v/>
      </c>
      <c r="AC214" s="609" t="str">
        <f t="shared" si="45"/>
        <v/>
      </c>
      <c r="AD214" s="609" t="str">
        <f t="shared" si="45"/>
        <v/>
      </c>
      <c r="AE214" s="609" t="str">
        <f t="shared" si="45"/>
        <v/>
      </c>
      <c r="AF214" s="609" t="str">
        <f t="shared" si="45"/>
        <v/>
      </c>
      <c r="AG214" s="609" t="str">
        <f t="shared" si="45"/>
        <v/>
      </c>
      <c r="AH214" s="609" t="str">
        <f t="shared" si="45"/>
        <v/>
      </c>
      <c r="AI214" s="609" t="str">
        <f t="shared" si="45"/>
        <v/>
      </c>
      <c r="AJ214" s="609" t="str">
        <f t="shared" si="45"/>
        <v/>
      </c>
      <c r="AK214" s="609" t="str">
        <f t="shared" si="45"/>
        <v/>
      </c>
      <c r="AL214" s="609" t="str">
        <f t="shared" si="45"/>
        <v/>
      </c>
      <c r="AM214" s="609" t="str">
        <f t="shared" si="45"/>
        <v/>
      </c>
      <c r="AN214" s="609" t="str">
        <f t="shared" si="45"/>
        <v/>
      </c>
      <c r="AO214" s="609" t="str">
        <f t="shared" si="45"/>
        <v/>
      </c>
      <c r="AP214" s="609" t="str">
        <f t="shared" si="45"/>
        <v/>
      </c>
      <c r="AQ214" s="609" t="str">
        <f t="shared" si="45"/>
        <v/>
      </c>
      <c r="AR214" s="609" t="str">
        <f t="shared" si="45"/>
        <v/>
      </c>
      <c r="AS214" s="609" t="str">
        <f t="shared" si="45"/>
        <v/>
      </c>
      <c r="AT214" s="609" t="str">
        <f t="shared" si="45"/>
        <v/>
      </c>
      <c r="AU214" s="609" t="str">
        <f t="shared" si="45"/>
        <v/>
      </c>
      <c r="AV214" s="609" t="str">
        <f t="shared" si="45"/>
        <v/>
      </c>
      <c r="AW214" s="609" t="str">
        <f t="shared" si="45"/>
        <v/>
      </c>
      <c r="AX214" s="609" t="str">
        <f t="shared" si="45"/>
        <v/>
      </c>
      <c r="AY214" s="609" t="str">
        <f t="shared" si="45"/>
        <v/>
      </c>
      <c r="AZ214" s="609" t="str">
        <f t="shared" si="45"/>
        <v/>
      </c>
      <c r="BA214" s="609" t="str">
        <f t="shared" si="45"/>
        <v/>
      </c>
      <c r="BB214" s="609" t="str">
        <f t="shared" si="45"/>
        <v/>
      </c>
      <c r="BC214" s="609" t="str">
        <f t="shared" si="45"/>
        <v/>
      </c>
      <c r="BD214" s="609" t="str">
        <f t="shared" si="45"/>
        <v/>
      </c>
      <c r="BE214" s="609" t="str">
        <f t="shared" si="45"/>
        <v/>
      </c>
      <c r="BF214" s="609" t="str">
        <f t="shared" si="45"/>
        <v/>
      </c>
      <c r="BG214" s="609" t="str">
        <f t="shared" si="45"/>
        <v/>
      </c>
    </row>
    <row r="215" spans="2:59" x14ac:dyDescent="0.25">
      <c r="B215" s="654">
        <v>209</v>
      </c>
      <c r="C215" s="654"/>
      <c r="D215" s="654"/>
      <c r="E215" s="655"/>
      <c r="F215" s="654"/>
      <c r="H215" s="609" t="str">
        <f t="shared" si="42"/>
        <v/>
      </c>
      <c r="I215" s="609" t="str">
        <f t="shared" si="45"/>
        <v/>
      </c>
      <c r="J215" s="609" t="str">
        <f t="shared" si="45"/>
        <v/>
      </c>
      <c r="K215" s="609" t="str">
        <f t="shared" si="45"/>
        <v/>
      </c>
      <c r="L215" s="609" t="str">
        <f t="shared" si="45"/>
        <v/>
      </c>
      <c r="M215" s="609" t="str">
        <f t="shared" si="45"/>
        <v/>
      </c>
      <c r="N215" s="609" t="str">
        <f t="shared" si="45"/>
        <v/>
      </c>
      <c r="O215" s="609" t="str">
        <f t="shared" si="45"/>
        <v/>
      </c>
      <c r="P215" s="609" t="str">
        <f t="shared" si="45"/>
        <v/>
      </c>
      <c r="Q215" s="609" t="str">
        <f t="shared" si="45"/>
        <v/>
      </c>
      <c r="R215" s="609" t="str">
        <f t="shared" si="45"/>
        <v/>
      </c>
      <c r="S215" s="609" t="str">
        <f t="shared" si="45"/>
        <v/>
      </c>
      <c r="T215" s="609" t="str">
        <f t="shared" si="45"/>
        <v/>
      </c>
      <c r="U215" s="609" t="str">
        <f t="shared" si="45"/>
        <v/>
      </c>
      <c r="V215" s="609" t="str">
        <f t="shared" si="45"/>
        <v/>
      </c>
      <c r="W215" s="609" t="str">
        <f t="shared" si="45"/>
        <v/>
      </c>
      <c r="X215" s="609" t="str">
        <f t="shared" si="45"/>
        <v/>
      </c>
      <c r="Y215" s="609" t="str">
        <f t="shared" si="45"/>
        <v/>
      </c>
      <c r="Z215" s="609" t="str">
        <f t="shared" si="45"/>
        <v/>
      </c>
      <c r="AA215" s="609" t="str">
        <f t="shared" si="45"/>
        <v/>
      </c>
      <c r="AB215" s="609" t="str">
        <f t="shared" si="45"/>
        <v/>
      </c>
      <c r="AC215" s="609" t="str">
        <f t="shared" si="45"/>
        <v/>
      </c>
      <c r="AD215" s="609" t="str">
        <f t="shared" si="45"/>
        <v/>
      </c>
      <c r="AE215" s="609" t="str">
        <f t="shared" si="45"/>
        <v/>
      </c>
      <c r="AF215" s="609" t="str">
        <f t="shared" si="45"/>
        <v/>
      </c>
      <c r="AG215" s="609" t="str">
        <f t="shared" si="45"/>
        <v/>
      </c>
      <c r="AH215" s="609" t="str">
        <f t="shared" si="45"/>
        <v/>
      </c>
      <c r="AI215" s="609" t="str">
        <f t="shared" si="45"/>
        <v/>
      </c>
      <c r="AJ215" s="609" t="str">
        <f t="shared" si="45"/>
        <v/>
      </c>
      <c r="AK215" s="609" t="str">
        <f t="shared" si="45"/>
        <v/>
      </c>
      <c r="AL215" s="609" t="str">
        <f t="shared" si="45"/>
        <v/>
      </c>
      <c r="AM215" s="609" t="str">
        <f t="shared" si="45"/>
        <v/>
      </c>
      <c r="AN215" s="609" t="str">
        <f t="shared" si="45"/>
        <v/>
      </c>
      <c r="AO215" s="609" t="str">
        <f t="shared" si="45"/>
        <v/>
      </c>
      <c r="AP215" s="609" t="str">
        <f t="shared" si="45"/>
        <v/>
      </c>
      <c r="AQ215" s="609" t="str">
        <f t="shared" si="45"/>
        <v/>
      </c>
      <c r="AR215" s="609" t="str">
        <f t="shared" si="45"/>
        <v/>
      </c>
      <c r="AS215" s="609" t="str">
        <f t="shared" si="45"/>
        <v/>
      </c>
      <c r="AT215" s="609" t="str">
        <f t="shared" si="45"/>
        <v/>
      </c>
      <c r="AU215" s="609" t="str">
        <f t="shared" si="45"/>
        <v/>
      </c>
      <c r="AV215" s="609" t="str">
        <f t="shared" si="45"/>
        <v/>
      </c>
      <c r="AW215" s="609" t="str">
        <f t="shared" si="45"/>
        <v/>
      </c>
      <c r="AX215" s="609" t="str">
        <f t="shared" si="45"/>
        <v/>
      </c>
      <c r="AY215" s="609" t="str">
        <f t="shared" si="45"/>
        <v/>
      </c>
      <c r="AZ215" s="609" t="str">
        <f t="shared" si="45"/>
        <v/>
      </c>
      <c r="BA215" s="609" t="str">
        <f t="shared" si="45"/>
        <v/>
      </c>
      <c r="BB215" s="609" t="str">
        <f t="shared" si="45"/>
        <v/>
      </c>
      <c r="BC215" s="609" t="str">
        <f t="shared" si="45"/>
        <v/>
      </c>
      <c r="BD215" s="609" t="str">
        <f t="shared" si="45"/>
        <v/>
      </c>
      <c r="BE215" s="609" t="str">
        <f t="shared" si="45"/>
        <v/>
      </c>
      <c r="BF215" s="609" t="str">
        <f t="shared" si="45"/>
        <v/>
      </c>
      <c r="BG215" s="609" t="str">
        <f t="shared" si="45"/>
        <v/>
      </c>
    </row>
    <row r="216" spans="2:59" x14ac:dyDescent="0.25">
      <c r="B216" s="654">
        <v>210</v>
      </c>
      <c r="C216" s="654"/>
      <c r="D216" s="654"/>
      <c r="E216" s="655"/>
      <c r="F216" s="654"/>
      <c r="H216" s="609" t="str">
        <f t="shared" si="42"/>
        <v/>
      </c>
      <c r="I216" s="609" t="str">
        <f t="shared" si="45"/>
        <v/>
      </c>
      <c r="J216" s="609" t="str">
        <f t="shared" si="45"/>
        <v/>
      </c>
      <c r="K216" s="609" t="str">
        <f t="shared" si="45"/>
        <v/>
      </c>
      <c r="L216" s="609" t="str">
        <f t="shared" si="45"/>
        <v/>
      </c>
      <c r="M216" s="609" t="str">
        <f t="shared" si="45"/>
        <v/>
      </c>
      <c r="N216" s="609" t="str">
        <f t="shared" si="45"/>
        <v/>
      </c>
      <c r="O216" s="609" t="str">
        <f t="shared" si="45"/>
        <v/>
      </c>
      <c r="P216" s="609" t="str">
        <f t="shared" si="45"/>
        <v/>
      </c>
      <c r="Q216" s="609" t="str">
        <f t="shared" si="45"/>
        <v/>
      </c>
      <c r="R216" s="609" t="str">
        <f t="shared" si="45"/>
        <v/>
      </c>
      <c r="S216" s="609" t="str">
        <f t="shared" si="45"/>
        <v/>
      </c>
      <c r="T216" s="609" t="str">
        <f t="shared" si="45"/>
        <v/>
      </c>
      <c r="U216" s="609" t="str">
        <f t="shared" si="45"/>
        <v/>
      </c>
      <c r="V216" s="609" t="str">
        <f t="shared" si="45"/>
        <v/>
      </c>
      <c r="W216" s="609" t="str">
        <f t="shared" si="45"/>
        <v/>
      </c>
      <c r="X216" s="609" t="str">
        <f t="shared" si="45"/>
        <v/>
      </c>
      <c r="Y216" s="609" t="str">
        <f t="shared" si="45"/>
        <v/>
      </c>
      <c r="Z216" s="609" t="str">
        <f t="shared" si="45"/>
        <v/>
      </c>
      <c r="AA216" s="609" t="str">
        <f t="shared" si="45"/>
        <v/>
      </c>
      <c r="AB216" s="609" t="str">
        <f t="shared" si="45"/>
        <v/>
      </c>
      <c r="AC216" s="609" t="str">
        <f t="shared" si="45"/>
        <v/>
      </c>
      <c r="AD216" s="609" t="str">
        <f t="shared" si="45"/>
        <v/>
      </c>
      <c r="AE216" s="609" t="str">
        <f t="shared" si="45"/>
        <v/>
      </c>
      <c r="AF216" s="609" t="str">
        <f t="shared" si="45"/>
        <v/>
      </c>
      <c r="AG216" s="609" t="str">
        <f t="shared" si="45"/>
        <v/>
      </c>
      <c r="AH216" s="609" t="str">
        <f t="shared" si="45"/>
        <v/>
      </c>
      <c r="AI216" s="609" t="str">
        <f t="shared" si="45"/>
        <v/>
      </c>
      <c r="AJ216" s="609" t="str">
        <f t="shared" si="45"/>
        <v/>
      </c>
      <c r="AK216" s="609" t="str">
        <f t="shared" si="45"/>
        <v/>
      </c>
      <c r="AL216" s="609" t="str">
        <f t="shared" si="45"/>
        <v/>
      </c>
      <c r="AM216" s="609" t="str">
        <f t="shared" si="45"/>
        <v/>
      </c>
      <c r="AN216" s="609" t="str">
        <f t="shared" si="45"/>
        <v/>
      </c>
      <c r="AO216" s="609" t="str">
        <f t="shared" si="45"/>
        <v/>
      </c>
      <c r="AP216" s="609" t="str">
        <f t="shared" si="45"/>
        <v/>
      </c>
      <c r="AQ216" s="609" t="str">
        <f t="shared" si="45"/>
        <v/>
      </c>
      <c r="AR216" s="609" t="str">
        <f t="shared" si="45"/>
        <v/>
      </c>
      <c r="AS216" s="609" t="str">
        <f t="shared" si="45"/>
        <v/>
      </c>
      <c r="AT216" s="609" t="str">
        <f t="shared" si="45"/>
        <v/>
      </c>
      <c r="AU216" s="609" t="str">
        <f t="shared" si="45"/>
        <v/>
      </c>
      <c r="AV216" s="609" t="str">
        <f t="shared" si="45"/>
        <v/>
      </c>
      <c r="AW216" s="609" t="str">
        <f t="shared" si="45"/>
        <v/>
      </c>
      <c r="AX216" s="609" t="str">
        <f t="shared" si="45"/>
        <v/>
      </c>
      <c r="AY216" s="609" t="str">
        <f t="shared" si="45"/>
        <v/>
      </c>
      <c r="AZ216" s="609" t="str">
        <f t="shared" si="45"/>
        <v/>
      </c>
      <c r="BA216" s="609" t="str">
        <f t="shared" si="45"/>
        <v/>
      </c>
      <c r="BB216" s="609" t="str">
        <f t="shared" si="45"/>
        <v/>
      </c>
      <c r="BC216" s="609" t="str">
        <f t="shared" si="45"/>
        <v/>
      </c>
      <c r="BD216" s="609" t="str">
        <f t="shared" si="45"/>
        <v/>
      </c>
      <c r="BE216" s="609" t="str">
        <f t="shared" si="45"/>
        <v/>
      </c>
      <c r="BF216" s="609" t="str">
        <f t="shared" si="45"/>
        <v/>
      </c>
      <c r="BG216" s="609" t="str">
        <f t="shared" si="45"/>
        <v/>
      </c>
    </row>
    <row r="217" spans="2:59" x14ac:dyDescent="0.25">
      <c r="B217" s="654">
        <v>211</v>
      </c>
      <c r="C217" s="654"/>
      <c r="D217" s="654"/>
      <c r="E217" s="655"/>
      <c r="F217" s="654"/>
      <c r="H217" s="609" t="str">
        <f t="shared" si="42"/>
        <v/>
      </c>
      <c r="I217" s="609" t="str">
        <f t="shared" si="45"/>
        <v/>
      </c>
      <c r="J217" s="609" t="str">
        <f t="shared" si="45"/>
        <v/>
      </c>
      <c r="K217" s="609" t="str">
        <f t="shared" si="45"/>
        <v/>
      </c>
      <c r="L217" s="609" t="str">
        <f t="shared" si="45"/>
        <v/>
      </c>
      <c r="M217" s="609" t="str">
        <f t="shared" si="45"/>
        <v/>
      </c>
      <c r="N217" s="609" t="str">
        <f t="shared" si="45"/>
        <v/>
      </c>
      <c r="O217" s="609" t="str">
        <f t="shared" si="45"/>
        <v/>
      </c>
      <c r="P217" s="609" t="str">
        <f t="shared" si="45"/>
        <v/>
      </c>
      <c r="Q217" s="609" t="str">
        <f t="shared" si="45"/>
        <v/>
      </c>
      <c r="R217" s="609" t="str">
        <f t="shared" si="45"/>
        <v/>
      </c>
      <c r="S217" s="609" t="str">
        <f t="shared" si="45"/>
        <v/>
      </c>
      <c r="T217" s="609" t="str">
        <f t="shared" si="45"/>
        <v/>
      </c>
      <c r="U217" s="609" t="str">
        <f t="shared" si="45"/>
        <v/>
      </c>
      <c r="V217" s="609" t="str">
        <f t="shared" si="45"/>
        <v/>
      </c>
      <c r="W217" s="609" t="str">
        <f t="shared" si="45"/>
        <v/>
      </c>
      <c r="X217" s="609" t="str">
        <f t="shared" si="45"/>
        <v/>
      </c>
      <c r="Y217" s="609" t="str">
        <f t="shared" si="45"/>
        <v/>
      </c>
      <c r="Z217" s="609" t="str">
        <f t="shared" si="45"/>
        <v/>
      </c>
      <c r="AA217" s="609" t="str">
        <f t="shared" si="45"/>
        <v/>
      </c>
      <c r="AB217" s="609" t="str">
        <f t="shared" si="45"/>
        <v/>
      </c>
      <c r="AC217" s="609" t="str">
        <f t="shared" si="45"/>
        <v/>
      </c>
      <c r="AD217" s="609" t="str">
        <f t="shared" si="45"/>
        <v/>
      </c>
      <c r="AE217" s="609" t="str">
        <f t="shared" si="45"/>
        <v/>
      </c>
      <c r="AF217" s="609" t="str">
        <f t="shared" si="45"/>
        <v/>
      </c>
      <c r="AG217" s="609" t="str">
        <f t="shared" si="45"/>
        <v/>
      </c>
      <c r="AH217" s="609" t="str">
        <f t="shared" si="45"/>
        <v/>
      </c>
      <c r="AI217" s="609" t="str">
        <f t="shared" si="45"/>
        <v/>
      </c>
      <c r="AJ217" s="609" t="str">
        <f t="shared" si="45"/>
        <v/>
      </c>
      <c r="AK217" s="609" t="str">
        <f t="shared" si="45"/>
        <v/>
      </c>
      <c r="AL217" s="609" t="str">
        <f t="shared" si="45"/>
        <v/>
      </c>
      <c r="AM217" s="609" t="str">
        <f t="shared" si="45"/>
        <v/>
      </c>
      <c r="AN217" s="609" t="str">
        <f t="shared" si="45"/>
        <v/>
      </c>
      <c r="AO217" s="609" t="str">
        <f t="shared" si="45"/>
        <v/>
      </c>
      <c r="AP217" s="609" t="str">
        <f t="shared" si="45"/>
        <v/>
      </c>
      <c r="AQ217" s="609" t="str">
        <f t="shared" si="45"/>
        <v/>
      </c>
      <c r="AR217" s="609" t="str">
        <f t="shared" si="45"/>
        <v/>
      </c>
      <c r="AS217" s="609" t="str">
        <f t="shared" si="45"/>
        <v/>
      </c>
      <c r="AT217" s="609" t="str">
        <f t="shared" si="45"/>
        <v/>
      </c>
      <c r="AU217" s="609" t="str">
        <f t="shared" si="45"/>
        <v/>
      </c>
      <c r="AV217" s="609" t="str">
        <f t="shared" si="45"/>
        <v/>
      </c>
      <c r="AW217" s="609" t="str">
        <f t="shared" si="45"/>
        <v/>
      </c>
      <c r="AX217" s="609" t="str">
        <f t="shared" si="45"/>
        <v/>
      </c>
      <c r="AY217" s="609" t="str">
        <f t="shared" si="45"/>
        <v/>
      </c>
      <c r="AZ217" s="609" t="str">
        <f t="shared" si="45"/>
        <v/>
      </c>
      <c r="BA217" s="609" t="str">
        <f t="shared" si="45"/>
        <v/>
      </c>
      <c r="BB217" s="609" t="str">
        <f t="shared" si="45"/>
        <v/>
      </c>
      <c r="BC217" s="609" t="str">
        <f t="shared" si="45"/>
        <v/>
      </c>
      <c r="BD217" s="609" t="str">
        <f t="shared" si="45"/>
        <v/>
      </c>
      <c r="BE217" s="609" t="str">
        <f t="shared" si="45"/>
        <v/>
      </c>
      <c r="BF217" s="609" t="str">
        <f t="shared" si="45"/>
        <v/>
      </c>
      <c r="BG217" s="609" t="str">
        <f t="shared" si="45"/>
        <v/>
      </c>
    </row>
    <row r="218" spans="2:59" x14ac:dyDescent="0.25">
      <c r="B218" s="654">
        <v>212</v>
      </c>
      <c r="C218" s="654"/>
      <c r="D218" s="654"/>
      <c r="E218" s="655"/>
      <c r="F218" s="654"/>
      <c r="H218" s="609" t="str">
        <f t="shared" si="42"/>
        <v/>
      </c>
      <c r="I218" s="609" t="str">
        <f t="shared" si="45"/>
        <v/>
      </c>
      <c r="J218" s="609" t="str">
        <f t="shared" si="45"/>
        <v/>
      </c>
      <c r="K218" s="609" t="str">
        <f t="shared" si="45"/>
        <v/>
      </c>
      <c r="L218" s="609" t="str">
        <f t="shared" si="45"/>
        <v/>
      </c>
      <c r="M218" s="609" t="str">
        <f t="shared" si="45"/>
        <v/>
      </c>
      <c r="N218" s="609" t="str">
        <f t="shared" si="45"/>
        <v/>
      </c>
      <c r="O218" s="609" t="str">
        <f t="shared" si="45"/>
        <v/>
      </c>
      <c r="P218" s="609" t="str">
        <f t="shared" si="45"/>
        <v/>
      </c>
      <c r="Q218" s="609" t="str">
        <f t="shared" si="45"/>
        <v/>
      </c>
      <c r="R218" s="609" t="str">
        <f t="shared" ref="I218:BG223" si="46">IF($D218=R$6,$B218&amp;", ","")</f>
        <v/>
      </c>
      <c r="S218" s="609" t="str">
        <f t="shared" si="46"/>
        <v/>
      </c>
      <c r="T218" s="609" t="str">
        <f t="shared" si="46"/>
        <v/>
      </c>
      <c r="U218" s="609" t="str">
        <f t="shared" si="46"/>
        <v/>
      </c>
      <c r="V218" s="609" t="str">
        <f t="shared" si="46"/>
        <v/>
      </c>
      <c r="W218" s="609" t="str">
        <f t="shared" si="46"/>
        <v/>
      </c>
      <c r="X218" s="609" t="str">
        <f t="shared" si="46"/>
        <v/>
      </c>
      <c r="Y218" s="609" t="str">
        <f t="shared" si="46"/>
        <v/>
      </c>
      <c r="Z218" s="609" t="str">
        <f t="shared" si="46"/>
        <v/>
      </c>
      <c r="AA218" s="609" t="str">
        <f t="shared" si="46"/>
        <v/>
      </c>
      <c r="AB218" s="609" t="str">
        <f t="shared" si="46"/>
        <v/>
      </c>
      <c r="AC218" s="609" t="str">
        <f t="shared" si="46"/>
        <v/>
      </c>
      <c r="AD218" s="609" t="str">
        <f t="shared" si="46"/>
        <v/>
      </c>
      <c r="AE218" s="609" t="str">
        <f t="shared" si="46"/>
        <v/>
      </c>
      <c r="AF218" s="609" t="str">
        <f t="shared" si="46"/>
        <v/>
      </c>
      <c r="AG218" s="609" t="str">
        <f t="shared" si="46"/>
        <v/>
      </c>
      <c r="AH218" s="609" t="str">
        <f t="shared" si="46"/>
        <v/>
      </c>
      <c r="AI218" s="609" t="str">
        <f t="shared" si="46"/>
        <v/>
      </c>
      <c r="AJ218" s="609" t="str">
        <f t="shared" si="46"/>
        <v/>
      </c>
      <c r="AK218" s="609" t="str">
        <f t="shared" si="46"/>
        <v/>
      </c>
      <c r="AL218" s="609" t="str">
        <f t="shared" si="46"/>
        <v/>
      </c>
      <c r="AM218" s="609" t="str">
        <f t="shared" si="46"/>
        <v/>
      </c>
      <c r="AN218" s="609" t="str">
        <f t="shared" si="46"/>
        <v/>
      </c>
      <c r="AO218" s="609" t="str">
        <f t="shared" si="46"/>
        <v/>
      </c>
      <c r="AP218" s="609" t="str">
        <f t="shared" si="46"/>
        <v/>
      </c>
      <c r="AQ218" s="609" t="str">
        <f t="shared" si="46"/>
        <v/>
      </c>
      <c r="AR218" s="609" t="str">
        <f t="shared" si="46"/>
        <v/>
      </c>
      <c r="AS218" s="609" t="str">
        <f t="shared" si="46"/>
        <v/>
      </c>
      <c r="AT218" s="609" t="str">
        <f t="shared" si="46"/>
        <v/>
      </c>
      <c r="AU218" s="609" t="str">
        <f t="shared" si="46"/>
        <v/>
      </c>
      <c r="AV218" s="609" t="str">
        <f t="shared" si="46"/>
        <v/>
      </c>
      <c r="AW218" s="609" t="str">
        <f t="shared" si="46"/>
        <v/>
      </c>
      <c r="AX218" s="609" t="str">
        <f t="shared" si="46"/>
        <v/>
      </c>
      <c r="AY218" s="609" t="str">
        <f t="shared" si="46"/>
        <v/>
      </c>
      <c r="AZ218" s="609" t="str">
        <f t="shared" si="46"/>
        <v/>
      </c>
      <c r="BA218" s="609" t="str">
        <f t="shared" si="46"/>
        <v/>
      </c>
      <c r="BB218" s="609" t="str">
        <f t="shared" si="46"/>
        <v/>
      </c>
      <c r="BC218" s="609" t="str">
        <f t="shared" si="46"/>
        <v/>
      </c>
      <c r="BD218" s="609" t="str">
        <f t="shared" si="46"/>
        <v/>
      </c>
      <c r="BE218" s="609" t="str">
        <f t="shared" si="46"/>
        <v/>
      </c>
      <c r="BF218" s="609" t="str">
        <f t="shared" si="46"/>
        <v/>
      </c>
      <c r="BG218" s="609" t="str">
        <f t="shared" si="46"/>
        <v/>
      </c>
    </row>
    <row r="219" spans="2:59" x14ac:dyDescent="0.25">
      <c r="B219" s="654">
        <v>213</v>
      </c>
      <c r="C219" s="654"/>
      <c r="D219" s="654"/>
      <c r="E219" s="655"/>
      <c r="F219" s="654"/>
      <c r="H219" s="609" t="str">
        <f t="shared" si="42"/>
        <v/>
      </c>
      <c r="I219" s="609" t="str">
        <f t="shared" si="46"/>
        <v/>
      </c>
      <c r="J219" s="609" t="str">
        <f t="shared" si="46"/>
        <v/>
      </c>
      <c r="K219" s="609" t="str">
        <f t="shared" si="46"/>
        <v/>
      </c>
      <c r="L219" s="609" t="str">
        <f t="shared" si="46"/>
        <v/>
      </c>
      <c r="M219" s="609" t="str">
        <f t="shared" si="46"/>
        <v/>
      </c>
      <c r="N219" s="609" t="str">
        <f t="shared" si="46"/>
        <v/>
      </c>
      <c r="O219" s="609" t="str">
        <f t="shared" si="46"/>
        <v/>
      </c>
      <c r="P219" s="609" t="str">
        <f t="shared" si="46"/>
        <v/>
      </c>
      <c r="Q219" s="609" t="str">
        <f t="shared" si="46"/>
        <v/>
      </c>
      <c r="R219" s="609" t="str">
        <f t="shared" si="46"/>
        <v/>
      </c>
      <c r="S219" s="609" t="str">
        <f t="shared" si="46"/>
        <v/>
      </c>
      <c r="T219" s="609" t="str">
        <f t="shared" si="46"/>
        <v/>
      </c>
      <c r="U219" s="609" t="str">
        <f t="shared" si="46"/>
        <v/>
      </c>
      <c r="V219" s="609" t="str">
        <f t="shared" si="46"/>
        <v/>
      </c>
      <c r="W219" s="609" t="str">
        <f t="shared" si="46"/>
        <v/>
      </c>
      <c r="X219" s="609" t="str">
        <f t="shared" si="46"/>
        <v/>
      </c>
      <c r="Y219" s="609" t="str">
        <f t="shared" si="46"/>
        <v/>
      </c>
      <c r="Z219" s="609" t="str">
        <f t="shared" si="46"/>
        <v/>
      </c>
      <c r="AA219" s="609" t="str">
        <f t="shared" si="46"/>
        <v/>
      </c>
      <c r="AB219" s="609" t="str">
        <f t="shared" si="46"/>
        <v/>
      </c>
      <c r="AC219" s="609" t="str">
        <f t="shared" si="46"/>
        <v/>
      </c>
      <c r="AD219" s="609" t="str">
        <f t="shared" si="46"/>
        <v/>
      </c>
      <c r="AE219" s="609" t="str">
        <f t="shared" si="46"/>
        <v/>
      </c>
      <c r="AF219" s="609" t="str">
        <f t="shared" si="46"/>
        <v/>
      </c>
      <c r="AG219" s="609" t="str">
        <f t="shared" si="46"/>
        <v/>
      </c>
      <c r="AH219" s="609" t="str">
        <f t="shared" si="46"/>
        <v/>
      </c>
      <c r="AI219" s="609" t="str">
        <f t="shared" si="46"/>
        <v/>
      </c>
      <c r="AJ219" s="609" t="str">
        <f t="shared" si="46"/>
        <v/>
      </c>
      <c r="AK219" s="609" t="str">
        <f t="shared" si="46"/>
        <v/>
      </c>
      <c r="AL219" s="609" t="str">
        <f t="shared" si="46"/>
        <v/>
      </c>
      <c r="AM219" s="609" t="str">
        <f t="shared" si="46"/>
        <v/>
      </c>
      <c r="AN219" s="609" t="str">
        <f t="shared" si="46"/>
        <v/>
      </c>
      <c r="AO219" s="609" t="str">
        <f t="shared" si="46"/>
        <v/>
      </c>
      <c r="AP219" s="609" t="str">
        <f t="shared" si="46"/>
        <v/>
      </c>
      <c r="AQ219" s="609" t="str">
        <f t="shared" si="46"/>
        <v/>
      </c>
      <c r="AR219" s="609" t="str">
        <f t="shared" si="46"/>
        <v/>
      </c>
      <c r="AS219" s="609" t="str">
        <f t="shared" si="46"/>
        <v/>
      </c>
      <c r="AT219" s="609" t="str">
        <f t="shared" si="46"/>
        <v/>
      </c>
      <c r="AU219" s="609" t="str">
        <f t="shared" si="46"/>
        <v/>
      </c>
      <c r="AV219" s="609" t="str">
        <f t="shared" si="46"/>
        <v/>
      </c>
      <c r="AW219" s="609" t="str">
        <f t="shared" si="46"/>
        <v/>
      </c>
      <c r="AX219" s="609" t="str">
        <f t="shared" si="46"/>
        <v/>
      </c>
      <c r="AY219" s="609" t="str">
        <f t="shared" si="46"/>
        <v/>
      </c>
      <c r="AZ219" s="609" t="str">
        <f t="shared" si="46"/>
        <v/>
      </c>
      <c r="BA219" s="609" t="str">
        <f t="shared" si="46"/>
        <v/>
      </c>
      <c r="BB219" s="609" t="str">
        <f t="shared" si="46"/>
        <v/>
      </c>
      <c r="BC219" s="609" t="str">
        <f t="shared" si="46"/>
        <v/>
      </c>
      <c r="BD219" s="609" t="str">
        <f t="shared" si="46"/>
        <v/>
      </c>
      <c r="BE219" s="609" t="str">
        <f t="shared" si="46"/>
        <v/>
      </c>
      <c r="BF219" s="609" t="str">
        <f t="shared" si="46"/>
        <v/>
      </c>
      <c r="BG219" s="609" t="str">
        <f t="shared" si="46"/>
        <v/>
      </c>
    </row>
    <row r="220" spans="2:59" x14ac:dyDescent="0.25">
      <c r="B220" s="654">
        <v>214</v>
      </c>
      <c r="C220" s="654"/>
      <c r="D220" s="654"/>
      <c r="E220" s="655"/>
      <c r="F220" s="654"/>
      <c r="H220" s="609" t="str">
        <f t="shared" si="42"/>
        <v/>
      </c>
      <c r="I220" s="609" t="str">
        <f t="shared" si="46"/>
        <v/>
      </c>
      <c r="J220" s="609" t="str">
        <f t="shared" si="46"/>
        <v/>
      </c>
      <c r="K220" s="609" t="str">
        <f t="shared" si="46"/>
        <v/>
      </c>
      <c r="L220" s="609" t="str">
        <f t="shared" si="46"/>
        <v/>
      </c>
      <c r="M220" s="609" t="str">
        <f t="shared" si="46"/>
        <v/>
      </c>
      <c r="N220" s="609" t="str">
        <f t="shared" si="46"/>
        <v/>
      </c>
      <c r="O220" s="609" t="str">
        <f t="shared" si="46"/>
        <v/>
      </c>
      <c r="P220" s="609" t="str">
        <f t="shared" si="46"/>
        <v/>
      </c>
      <c r="Q220" s="609" t="str">
        <f t="shared" si="46"/>
        <v/>
      </c>
      <c r="R220" s="609" t="str">
        <f t="shared" si="46"/>
        <v/>
      </c>
      <c r="S220" s="609" t="str">
        <f t="shared" si="46"/>
        <v/>
      </c>
      <c r="T220" s="609" t="str">
        <f t="shared" si="46"/>
        <v/>
      </c>
      <c r="U220" s="609" t="str">
        <f t="shared" si="46"/>
        <v/>
      </c>
      <c r="V220" s="609" t="str">
        <f t="shared" si="46"/>
        <v/>
      </c>
      <c r="W220" s="609" t="str">
        <f t="shared" si="46"/>
        <v/>
      </c>
      <c r="X220" s="609" t="str">
        <f t="shared" si="46"/>
        <v/>
      </c>
      <c r="Y220" s="609" t="str">
        <f t="shared" si="46"/>
        <v/>
      </c>
      <c r="Z220" s="609" t="str">
        <f t="shared" si="46"/>
        <v/>
      </c>
      <c r="AA220" s="609" t="str">
        <f t="shared" si="46"/>
        <v/>
      </c>
      <c r="AB220" s="609" t="str">
        <f t="shared" si="46"/>
        <v/>
      </c>
      <c r="AC220" s="609" t="str">
        <f t="shared" si="46"/>
        <v/>
      </c>
      <c r="AD220" s="609" t="str">
        <f t="shared" si="46"/>
        <v/>
      </c>
      <c r="AE220" s="609" t="str">
        <f t="shared" si="46"/>
        <v/>
      </c>
      <c r="AF220" s="609" t="str">
        <f t="shared" si="46"/>
        <v/>
      </c>
      <c r="AG220" s="609" t="str">
        <f t="shared" si="46"/>
        <v/>
      </c>
      <c r="AH220" s="609" t="str">
        <f t="shared" si="46"/>
        <v/>
      </c>
      <c r="AI220" s="609" t="str">
        <f t="shared" si="46"/>
        <v/>
      </c>
      <c r="AJ220" s="609" t="str">
        <f t="shared" si="46"/>
        <v/>
      </c>
      <c r="AK220" s="609" t="str">
        <f t="shared" si="46"/>
        <v/>
      </c>
      <c r="AL220" s="609" t="str">
        <f t="shared" si="46"/>
        <v/>
      </c>
      <c r="AM220" s="609" t="str">
        <f t="shared" si="46"/>
        <v/>
      </c>
      <c r="AN220" s="609" t="str">
        <f t="shared" si="46"/>
        <v/>
      </c>
      <c r="AO220" s="609" t="str">
        <f t="shared" si="46"/>
        <v/>
      </c>
      <c r="AP220" s="609" t="str">
        <f t="shared" si="46"/>
        <v/>
      </c>
      <c r="AQ220" s="609" t="str">
        <f t="shared" si="46"/>
        <v/>
      </c>
      <c r="AR220" s="609" t="str">
        <f t="shared" si="46"/>
        <v/>
      </c>
      <c r="AS220" s="609" t="str">
        <f t="shared" si="46"/>
        <v/>
      </c>
      <c r="AT220" s="609" t="str">
        <f t="shared" si="46"/>
        <v/>
      </c>
      <c r="AU220" s="609" t="str">
        <f t="shared" si="46"/>
        <v/>
      </c>
      <c r="AV220" s="609" t="str">
        <f t="shared" si="46"/>
        <v/>
      </c>
      <c r="AW220" s="609" t="str">
        <f t="shared" si="46"/>
        <v/>
      </c>
      <c r="AX220" s="609" t="str">
        <f t="shared" si="46"/>
        <v/>
      </c>
      <c r="AY220" s="609" t="str">
        <f t="shared" si="46"/>
        <v/>
      </c>
      <c r="AZ220" s="609" t="str">
        <f t="shared" si="46"/>
        <v/>
      </c>
      <c r="BA220" s="609" t="str">
        <f t="shared" si="46"/>
        <v/>
      </c>
      <c r="BB220" s="609" t="str">
        <f t="shared" si="46"/>
        <v/>
      </c>
      <c r="BC220" s="609" t="str">
        <f t="shared" si="46"/>
        <v/>
      </c>
      <c r="BD220" s="609" t="str">
        <f t="shared" si="46"/>
        <v/>
      </c>
      <c r="BE220" s="609" t="str">
        <f t="shared" si="46"/>
        <v/>
      </c>
      <c r="BF220" s="609" t="str">
        <f t="shared" si="46"/>
        <v/>
      </c>
      <c r="BG220" s="609" t="str">
        <f t="shared" si="46"/>
        <v/>
      </c>
    </row>
    <row r="221" spans="2:59" x14ac:dyDescent="0.25">
      <c r="B221" s="654">
        <v>215</v>
      </c>
      <c r="C221" s="654"/>
      <c r="D221" s="654"/>
      <c r="E221" s="655"/>
      <c r="F221" s="654"/>
      <c r="H221" s="609" t="str">
        <f t="shared" si="42"/>
        <v/>
      </c>
      <c r="I221" s="609" t="str">
        <f t="shared" si="46"/>
        <v/>
      </c>
      <c r="J221" s="609" t="str">
        <f t="shared" si="46"/>
        <v/>
      </c>
      <c r="K221" s="609" t="str">
        <f t="shared" si="46"/>
        <v/>
      </c>
      <c r="L221" s="609" t="str">
        <f t="shared" si="46"/>
        <v/>
      </c>
      <c r="M221" s="609" t="str">
        <f t="shared" si="46"/>
        <v/>
      </c>
      <c r="N221" s="609" t="str">
        <f t="shared" si="46"/>
        <v/>
      </c>
      <c r="O221" s="609" t="str">
        <f t="shared" si="46"/>
        <v/>
      </c>
      <c r="P221" s="609" t="str">
        <f t="shared" si="46"/>
        <v/>
      </c>
      <c r="Q221" s="609" t="str">
        <f t="shared" si="46"/>
        <v/>
      </c>
      <c r="R221" s="609" t="str">
        <f t="shared" si="46"/>
        <v/>
      </c>
      <c r="S221" s="609" t="str">
        <f t="shared" si="46"/>
        <v/>
      </c>
      <c r="T221" s="609" t="str">
        <f t="shared" si="46"/>
        <v/>
      </c>
      <c r="U221" s="609" t="str">
        <f t="shared" si="46"/>
        <v/>
      </c>
      <c r="V221" s="609" t="str">
        <f t="shared" si="46"/>
        <v/>
      </c>
      <c r="W221" s="609" t="str">
        <f t="shared" si="46"/>
        <v/>
      </c>
      <c r="X221" s="609" t="str">
        <f t="shared" si="46"/>
        <v/>
      </c>
      <c r="Y221" s="609" t="str">
        <f t="shared" si="46"/>
        <v/>
      </c>
      <c r="Z221" s="609" t="str">
        <f t="shared" si="46"/>
        <v/>
      </c>
      <c r="AA221" s="609" t="str">
        <f t="shared" si="46"/>
        <v/>
      </c>
      <c r="AB221" s="609" t="str">
        <f t="shared" si="46"/>
        <v/>
      </c>
      <c r="AC221" s="609" t="str">
        <f t="shared" si="46"/>
        <v/>
      </c>
      <c r="AD221" s="609" t="str">
        <f t="shared" si="46"/>
        <v/>
      </c>
      <c r="AE221" s="609" t="str">
        <f t="shared" si="46"/>
        <v/>
      </c>
      <c r="AF221" s="609" t="str">
        <f t="shared" si="46"/>
        <v/>
      </c>
      <c r="AG221" s="609" t="str">
        <f t="shared" si="46"/>
        <v/>
      </c>
      <c r="AH221" s="609" t="str">
        <f t="shared" si="46"/>
        <v/>
      </c>
      <c r="AI221" s="609" t="str">
        <f t="shared" si="46"/>
        <v/>
      </c>
      <c r="AJ221" s="609" t="str">
        <f t="shared" si="46"/>
        <v/>
      </c>
      <c r="AK221" s="609" t="str">
        <f t="shared" si="46"/>
        <v/>
      </c>
      <c r="AL221" s="609" t="str">
        <f t="shared" si="46"/>
        <v/>
      </c>
      <c r="AM221" s="609" t="str">
        <f t="shared" si="46"/>
        <v/>
      </c>
      <c r="AN221" s="609" t="str">
        <f t="shared" si="46"/>
        <v/>
      </c>
      <c r="AO221" s="609" t="str">
        <f t="shared" si="46"/>
        <v/>
      </c>
      <c r="AP221" s="609" t="str">
        <f t="shared" si="46"/>
        <v/>
      </c>
      <c r="AQ221" s="609" t="str">
        <f t="shared" si="46"/>
        <v/>
      </c>
      <c r="AR221" s="609" t="str">
        <f t="shared" si="46"/>
        <v/>
      </c>
      <c r="AS221" s="609" t="str">
        <f t="shared" si="46"/>
        <v/>
      </c>
      <c r="AT221" s="609" t="str">
        <f t="shared" si="46"/>
        <v/>
      </c>
      <c r="AU221" s="609" t="str">
        <f t="shared" si="46"/>
        <v/>
      </c>
      <c r="AV221" s="609" t="str">
        <f t="shared" si="46"/>
        <v/>
      </c>
      <c r="AW221" s="609" t="str">
        <f t="shared" si="46"/>
        <v/>
      </c>
      <c r="AX221" s="609" t="str">
        <f t="shared" si="46"/>
        <v/>
      </c>
      <c r="AY221" s="609" t="str">
        <f t="shared" si="46"/>
        <v/>
      </c>
      <c r="AZ221" s="609" t="str">
        <f t="shared" si="46"/>
        <v/>
      </c>
      <c r="BA221" s="609" t="str">
        <f t="shared" si="46"/>
        <v/>
      </c>
      <c r="BB221" s="609" t="str">
        <f t="shared" si="46"/>
        <v/>
      </c>
      <c r="BC221" s="609" t="str">
        <f t="shared" si="46"/>
        <v/>
      </c>
      <c r="BD221" s="609" t="str">
        <f t="shared" si="46"/>
        <v/>
      </c>
      <c r="BE221" s="609" t="str">
        <f t="shared" si="46"/>
        <v/>
      </c>
      <c r="BF221" s="609" t="str">
        <f t="shared" si="46"/>
        <v/>
      </c>
      <c r="BG221" s="609" t="str">
        <f t="shared" si="46"/>
        <v/>
      </c>
    </row>
    <row r="222" spans="2:59" x14ac:dyDescent="0.25">
      <c r="B222" s="654">
        <v>216</v>
      </c>
      <c r="C222" s="654"/>
      <c r="D222" s="654"/>
      <c r="E222" s="655"/>
      <c r="F222" s="654"/>
      <c r="H222" s="609" t="str">
        <f t="shared" si="42"/>
        <v/>
      </c>
      <c r="I222" s="609" t="str">
        <f t="shared" si="46"/>
        <v/>
      </c>
      <c r="J222" s="609" t="str">
        <f t="shared" si="46"/>
        <v/>
      </c>
      <c r="K222" s="609" t="str">
        <f t="shared" si="46"/>
        <v/>
      </c>
      <c r="L222" s="609" t="str">
        <f t="shared" si="46"/>
        <v/>
      </c>
      <c r="M222" s="609" t="str">
        <f t="shared" si="46"/>
        <v/>
      </c>
      <c r="N222" s="609" t="str">
        <f t="shared" si="46"/>
        <v/>
      </c>
      <c r="O222" s="609" t="str">
        <f t="shared" si="46"/>
        <v/>
      </c>
      <c r="P222" s="609" t="str">
        <f t="shared" si="46"/>
        <v/>
      </c>
      <c r="Q222" s="609" t="str">
        <f t="shared" si="46"/>
        <v/>
      </c>
      <c r="R222" s="609" t="str">
        <f t="shared" si="46"/>
        <v/>
      </c>
      <c r="S222" s="609" t="str">
        <f t="shared" si="46"/>
        <v/>
      </c>
      <c r="T222" s="609" t="str">
        <f t="shared" si="46"/>
        <v/>
      </c>
      <c r="U222" s="609" t="str">
        <f t="shared" si="46"/>
        <v/>
      </c>
      <c r="V222" s="609" t="str">
        <f t="shared" si="46"/>
        <v/>
      </c>
      <c r="W222" s="609" t="str">
        <f t="shared" si="46"/>
        <v/>
      </c>
      <c r="X222" s="609" t="str">
        <f t="shared" si="46"/>
        <v/>
      </c>
      <c r="Y222" s="609" t="str">
        <f t="shared" si="46"/>
        <v/>
      </c>
      <c r="Z222" s="609" t="str">
        <f t="shared" si="46"/>
        <v/>
      </c>
      <c r="AA222" s="609" t="str">
        <f t="shared" si="46"/>
        <v/>
      </c>
      <c r="AB222" s="609" t="str">
        <f t="shared" si="46"/>
        <v/>
      </c>
      <c r="AC222" s="609" t="str">
        <f t="shared" si="46"/>
        <v/>
      </c>
      <c r="AD222" s="609" t="str">
        <f t="shared" si="46"/>
        <v/>
      </c>
      <c r="AE222" s="609" t="str">
        <f t="shared" si="46"/>
        <v/>
      </c>
      <c r="AF222" s="609" t="str">
        <f t="shared" si="46"/>
        <v/>
      </c>
      <c r="AG222" s="609" t="str">
        <f t="shared" si="46"/>
        <v/>
      </c>
      <c r="AH222" s="609" t="str">
        <f t="shared" si="46"/>
        <v/>
      </c>
      <c r="AI222" s="609" t="str">
        <f t="shared" si="46"/>
        <v/>
      </c>
      <c r="AJ222" s="609" t="str">
        <f t="shared" si="46"/>
        <v/>
      </c>
      <c r="AK222" s="609" t="str">
        <f t="shared" si="46"/>
        <v/>
      </c>
      <c r="AL222" s="609" t="str">
        <f t="shared" si="46"/>
        <v/>
      </c>
      <c r="AM222" s="609" t="str">
        <f t="shared" si="46"/>
        <v/>
      </c>
      <c r="AN222" s="609" t="str">
        <f t="shared" si="46"/>
        <v/>
      </c>
      <c r="AO222" s="609" t="str">
        <f t="shared" si="46"/>
        <v/>
      </c>
      <c r="AP222" s="609" t="str">
        <f t="shared" si="46"/>
        <v/>
      </c>
      <c r="AQ222" s="609" t="str">
        <f t="shared" si="46"/>
        <v/>
      </c>
      <c r="AR222" s="609" t="str">
        <f t="shared" si="46"/>
        <v/>
      </c>
      <c r="AS222" s="609" t="str">
        <f t="shared" si="46"/>
        <v/>
      </c>
      <c r="AT222" s="609" t="str">
        <f t="shared" si="46"/>
        <v/>
      </c>
      <c r="AU222" s="609" t="str">
        <f t="shared" si="46"/>
        <v/>
      </c>
      <c r="AV222" s="609" t="str">
        <f t="shared" si="46"/>
        <v/>
      </c>
      <c r="AW222" s="609" t="str">
        <f t="shared" si="46"/>
        <v/>
      </c>
      <c r="AX222" s="609" t="str">
        <f t="shared" si="46"/>
        <v/>
      </c>
      <c r="AY222" s="609" t="str">
        <f t="shared" si="46"/>
        <v/>
      </c>
      <c r="AZ222" s="609" t="str">
        <f t="shared" si="46"/>
        <v/>
      </c>
      <c r="BA222" s="609" t="str">
        <f t="shared" si="46"/>
        <v/>
      </c>
      <c r="BB222" s="609" t="str">
        <f t="shared" si="46"/>
        <v/>
      </c>
      <c r="BC222" s="609" t="str">
        <f t="shared" si="46"/>
        <v/>
      </c>
      <c r="BD222" s="609" t="str">
        <f t="shared" si="46"/>
        <v/>
      </c>
      <c r="BE222" s="609" t="str">
        <f t="shared" si="46"/>
        <v/>
      </c>
      <c r="BF222" s="609" t="str">
        <f t="shared" si="46"/>
        <v/>
      </c>
      <c r="BG222" s="609" t="str">
        <f t="shared" si="46"/>
        <v/>
      </c>
    </row>
    <row r="223" spans="2:59" x14ac:dyDescent="0.25">
      <c r="B223" s="654">
        <v>217</v>
      </c>
      <c r="C223" s="654"/>
      <c r="D223" s="654"/>
      <c r="E223" s="655"/>
      <c r="F223" s="654"/>
      <c r="H223" s="609" t="str">
        <f t="shared" si="42"/>
        <v/>
      </c>
      <c r="I223" s="609" t="str">
        <f t="shared" si="46"/>
        <v/>
      </c>
      <c r="J223" s="609" t="str">
        <f t="shared" si="46"/>
        <v/>
      </c>
      <c r="K223" s="609" t="str">
        <f t="shared" si="46"/>
        <v/>
      </c>
      <c r="L223" s="609" t="str">
        <f t="shared" si="46"/>
        <v/>
      </c>
      <c r="M223" s="609" t="str">
        <f t="shared" si="46"/>
        <v/>
      </c>
      <c r="N223" s="609" t="str">
        <f t="shared" si="46"/>
        <v/>
      </c>
      <c r="O223" s="609" t="str">
        <f t="shared" si="46"/>
        <v/>
      </c>
      <c r="P223" s="609" t="str">
        <f t="shared" si="46"/>
        <v/>
      </c>
      <c r="Q223" s="609" t="str">
        <f t="shared" si="46"/>
        <v/>
      </c>
      <c r="R223" s="609" t="str">
        <f t="shared" ref="I223:BG228" si="47">IF($D223=R$6,$B223&amp;", ","")</f>
        <v/>
      </c>
      <c r="S223" s="609" t="str">
        <f t="shared" si="47"/>
        <v/>
      </c>
      <c r="T223" s="609" t="str">
        <f t="shared" si="47"/>
        <v/>
      </c>
      <c r="U223" s="609" t="str">
        <f t="shared" si="47"/>
        <v/>
      </c>
      <c r="V223" s="609" t="str">
        <f t="shared" si="47"/>
        <v/>
      </c>
      <c r="W223" s="609" t="str">
        <f t="shared" si="47"/>
        <v/>
      </c>
      <c r="X223" s="609" t="str">
        <f t="shared" si="47"/>
        <v/>
      </c>
      <c r="Y223" s="609" t="str">
        <f t="shared" si="47"/>
        <v/>
      </c>
      <c r="Z223" s="609" t="str">
        <f t="shared" si="47"/>
        <v/>
      </c>
      <c r="AA223" s="609" t="str">
        <f t="shared" si="47"/>
        <v/>
      </c>
      <c r="AB223" s="609" t="str">
        <f t="shared" si="47"/>
        <v/>
      </c>
      <c r="AC223" s="609" t="str">
        <f t="shared" si="47"/>
        <v/>
      </c>
      <c r="AD223" s="609" t="str">
        <f t="shared" si="47"/>
        <v/>
      </c>
      <c r="AE223" s="609" t="str">
        <f t="shared" si="47"/>
        <v/>
      </c>
      <c r="AF223" s="609" t="str">
        <f t="shared" si="47"/>
        <v/>
      </c>
      <c r="AG223" s="609" t="str">
        <f t="shared" si="47"/>
        <v/>
      </c>
      <c r="AH223" s="609" t="str">
        <f t="shared" si="47"/>
        <v/>
      </c>
      <c r="AI223" s="609" t="str">
        <f t="shared" si="47"/>
        <v/>
      </c>
      <c r="AJ223" s="609" t="str">
        <f t="shared" si="47"/>
        <v/>
      </c>
      <c r="AK223" s="609" t="str">
        <f t="shared" si="47"/>
        <v/>
      </c>
      <c r="AL223" s="609" t="str">
        <f t="shared" si="47"/>
        <v/>
      </c>
      <c r="AM223" s="609" t="str">
        <f t="shared" si="47"/>
        <v/>
      </c>
      <c r="AN223" s="609" t="str">
        <f t="shared" si="47"/>
        <v/>
      </c>
      <c r="AO223" s="609" t="str">
        <f t="shared" si="47"/>
        <v/>
      </c>
      <c r="AP223" s="609" t="str">
        <f t="shared" si="47"/>
        <v/>
      </c>
      <c r="AQ223" s="609" t="str">
        <f t="shared" si="47"/>
        <v/>
      </c>
      <c r="AR223" s="609" t="str">
        <f t="shared" si="47"/>
        <v/>
      </c>
      <c r="AS223" s="609" t="str">
        <f t="shared" si="47"/>
        <v/>
      </c>
      <c r="AT223" s="609" t="str">
        <f t="shared" si="47"/>
        <v/>
      </c>
      <c r="AU223" s="609" t="str">
        <f t="shared" si="47"/>
        <v/>
      </c>
      <c r="AV223" s="609" t="str">
        <f t="shared" si="47"/>
        <v/>
      </c>
      <c r="AW223" s="609" t="str">
        <f t="shared" si="47"/>
        <v/>
      </c>
      <c r="AX223" s="609" t="str">
        <f t="shared" si="47"/>
        <v/>
      </c>
      <c r="AY223" s="609" t="str">
        <f t="shared" si="47"/>
        <v/>
      </c>
      <c r="AZ223" s="609" t="str">
        <f t="shared" si="47"/>
        <v/>
      </c>
      <c r="BA223" s="609" t="str">
        <f t="shared" si="47"/>
        <v/>
      </c>
      <c r="BB223" s="609" t="str">
        <f t="shared" si="47"/>
        <v/>
      </c>
      <c r="BC223" s="609" t="str">
        <f t="shared" si="47"/>
        <v/>
      </c>
      <c r="BD223" s="609" t="str">
        <f t="shared" si="47"/>
        <v/>
      </c>
      <c r="BE223" s="609" t="str">
        <f t="shared" si="47"/>
        <v/>
      </c>
      <c r="BF223" s="609" t="str">
        <f t="shared" si="47"/>
        <v/>
      </c>
      <c r="BG223" s="609" t="str">
        <f t="shared" si="47"/>
        <v/>
      </c>
    </row>
    <row r="224" spans="2:59" x14ac:dyDescent="0.25">
      <c r="B224" s="654">
        <v>218</v>
      </c>
      <c r="C224" s="654"/>
      <c r="D224" s="654"/>
      <c r="E224" s="655"/>
      <c r="F224" s="654"/>
      <c r="H224" s="609" t="str">
        <f t="shared" si="42"/>
        <v/>
      </c>
      <c r="I224" s="609" t="str">
        <f t="shared" si="47"/>
        <v/>
      </c>
      <c r="J224" s="609" t="str">
        <f t="shared" si="47"/>
        <v/>
      </c>
      <c r="K224" s="609" t="str">
        <f t="shared" si="47"/>
        <v/>
      </c>
      <c r="L224" s="609" t="str">
        <f t="shared" si="47"/>
        <v/>
      </c>
      <c r="M224" s="609" t="str">
        <f t="shared" si="47"/>
        <v/>
      </c>
      <c r="N224" s="609" t="str">
        <f t="shared" si="47"/>
        <v/>
      </c>
      <c r="O224" s="609" t="str">
        <f t="shared" si="47"/>
        <v/>
      </c>
      <c r="P224" s="609" t="str">
        <f t="shared" si="47"/>
        <v/>
      </c>
      <c r="Q224" s="609" t="str">
        <f t="shared" si="47"/>
        <v/>
      </c>
      <c r="R224" s="609" t="str">
        <f t="shared" si="47"/>
        <v/>
      </c>
      <c r="S224" s="609" t="str">
        <f t="shared" si="47"/>
        <v/>
      </c>
      <c r="T224" s="609" t="str">
        <f t="shared" si="47"/>
        <v/>
      </c>
      <c r="U224" s="609" t="str">
        <f t="shared" si="47"/>
        <v/>
      </c>
      <c r="V224" s="609" t="str">
        <f t="shared" si="47"/>
        <v/>
      </c>
      <c r="W224" s="609" t="str">
        <f t="shared" si="47"/>
        <v/>
      </c>
      <c r="X224" s="609" t="str">
        <f t="shared" si="47"/>
        <v/>
      </c>
      <c r="Y224" s="609" t="str">
        <f t="shared" si="47"/>
        <v/>
      </c>
      <c r="Z224" s="609" t="str">
        <f t="shared" si="47"/>
        <v/>
      </c>
      <c r="AA224" s="609" t="str">
        <f t="shared" si="47"/>
        <v/>
      </c>
      <c r="AB224" s="609" t="str">
        <f t="shared" si="47"/>
        <v/>
      </c>
      <c r="AC224" s="609" t="str">
        <f t="shared" si="47"/>
        <v/>
      </c>
      <c r="AD224" s="609" t="str">
        <f t="shared" si="47"/>
        <v/>
      </c>
      <c r="AE224" s="609" t="str">
        <f t="shared" si="47"/>
        <v/>
      </c>
      <c r="AF224" s="609" t="str">
        <f t="shared" si="47"/>
        <v/>
      </c>
      <c r="AG224" s="609" t="str">
        <f t="shared" si="47"/>
        <v/>
      </c>
      <c r="AH224" s="609" t="str">
        <f t="shared" si="47"/>
        <v/>
      </c>
      <c r="AI224" s="609" t="str">
        <f t="shared" si="47"/>
        <v/>
      </c>
      <c r="AJ224" s="609" t="str">
        <f t="shared" si="47"/>
        <v/>
      </c>
      <c r="AK224" s="609" t="str">
        <f t="shared" si="47"/>
        <v/>
      </c>
      <c r="AL224" s="609" t="str">
        <f t="shared" si="47"/>
        <v/>
      </c>
      <c r="AM224" s="609" t="str">
        <f t="shared" si="47"/>
        <v/>
      </c>
      <c r="AN224" s="609" t="str">
        <f t="shared" si="47"/>
        <v/>
      </c>
      <c r="AO224" s="609" t="str">
        <f t="shared" si="47"/>
        <v/>
      </c>
      <c r="AP224" s="609" t="str">
        <f t="shared" si="47"/>
        <v/>
      </c>
      <c r="AQ224" s="609" t="str">
        <f t="shared" si="47"/>
        <v/>
      </c>
      <c r="AR224" s="609" t="str">
        <f t="shared" si="47"/>
        <v/>
      </c>
      <c r="AS224" s="609" t="str">
        <f t="shared" si="47"/>
        <v/>
      </c>
      <c r="AT224" s="609" t="str">
        <f t="shared" si="47"/>
        <v/>
      </c>
      <c r="AU224" s="609" t="str">
        <f t="shared" si="47"/>
        <v/>
      </c>
      <c r="AV224" s="609" t="str">
        <f t="shared" si="47"/>
        <v/>
      </c>
      <c r="AW224" s="609" t="str">
        <f t="shared" si="47"/>
        <v/>
      </c>
      <c r="AX224" s="609" t="str">
        <f t="shared" si="47"/>
        <v/>
      </c>
      <c r="AY224" s="609" t="str">
        <f t="shared" si="47"/>
        <v/>
      </c>
      <c r="AZ224" s="609" t="str">
        <f t="shared" si="47"/>
        <v/>
      </c>
      <c r="BA224" s="609" t="str">
        <f t="shared" si="47"/>
        <v/>
      </c>
      <c r="BB224" s="609" t="str">
        <f t="shared" si="47"/>
        <v/>
      </c>
      <c r="BC224" s="609" t="str">
        <f t="shared" si="47"/>
        <v/>
      </c>
      <c r="BD224" s="609" t="str">
        <f t="shared" si="47"/>
        <v/>
      </c>
      <c r="BE224" s="609" t="str">
        <f t="shared" si="47"/>
        <v/>
      </c>
      <c r="BF224" s="609" t="str">
        <f t="shared" si="47"/>
        <v/>
      </c>
      <c r="BG224" s="609" t="str">
        <f t="shared" si="47"/>
        <v/>
      </c>
    </row>
    <row r="225" spans="2:59" x14ac:dyDescent="0.25">
      <c r="B225" s="654">
        <v>219</v>
      </c>
      <c r="C225" s="654"/>
      <c r="D225" s="654"/>
      <c r="E225" s="655"/>
      <c r="F225" s="654"/>
      <c r="H225" s="609" t="str">
        <f t="shared" si="42"/>
        <v/>
      </c>
      <c r="I225" s="609" t="str">
        <f t="shared" si="47"/>
        <v/>
      </c>
      <c r="J225" s="609" t="str">
        <f t="shared" si="47"/>
        <v/>
      </c>
      <c r="K225" s="609" t="str">
        <f t="shared" si="47"/>
        <v/>
      </c>
      <c r="L225" s="609" t="str">
        <f t="shared" si="47"/>
        <v/>
      </c>
      <c r="M225" s="609" t="str">
        <f t="shared" si="47"/>
        <v/>
      </c>
      <c r="N225" s="609" t="str">
        <f t="shared" si="47"/>
        <v/>
      </c>
      <c r="O225" s="609" t="str">
        <f t="shared" si="47"/>
        <v/>
      </c>
      <c r="P225" s="609" t="str">
        <f t="shared" si="47"/>
        <v/>
      </c>
      <c r="Q225" s="609" t="str">
        <f t="shared" si="47"/>
        <v/>
      </c>
      <c r="R225" s="609" t="str">
        <f t="shared" si="47"/>
        <v/>
      </c>
      <c r="S225" s="609" t="str">
        <f t="shared" si="47"/>
        <v/>
      </c>
      <c r="T225" s="609" t="str">
        <f t="shared" si="47"/>
        <v/>
      </c>
      <c r="U225" s="609" t="str">
        <f t="shared" si="47"/>
        <v/>
      </c>
      <c r="V225" s="609" t="str">
        <f t="shared" si="47"/>
        <v/>
      </c>
      <c r="W225" s="609" t="str">
        <f t="shared" si="47"/>
        <v/>
      </c>
      <c r="X225" s="609" t="str">
        <f t="shared" si="47"/>
        <v/>
      </c>
      <c r="Y225" s="609" t="str">
        <f t="shared" si="47"/>
        <v/>
      </c>
      <c r="Z225" s="609" t="str">
        <f t="shared" si="47"/>
        <v/>
      </c>
      <c r="AA225" s="609" t="str">
        <f t="shared" si="47"/>
        <v/>
      </c>
      <c r="AB225" s="609" t="str">
        <f t="shared" si="47"/>
        <v/>
      </c>
      <c r="AC225" s="609" t="str">
        <f t="shared" si="47"/>
        <v/>
      </c>
      <c r="AD225" s="609" t="str">
        <f t="shared" si="47"/>
        <v/>
      </c>
      <c r="AE225" s="609" t="str">
        <f t="shared" si="47"/>
        <v/>
      </c>
      <c r="AF225" s="609" t="str">
        <f t="shared" si="47"/>
        <v/>
      </c>
      <c r="AG225" s="609" t="str">
        <f t="shared" si="47"/>
        <v/>
      </c>
      <c r="AH225" s="609" t="str">
        <f t="shared" si="47"/>
        <v/>
      </c>
      <c r="AI225" s="609" t="str">
        <f t="shared" si="47"/>
        <v/>
      </c>
      <c r="AJ225" s="609" t="str">
        <f t="shared" si="47"/>
        <v/>
      </c>
      <c r="AK225" s="609" t="str">
        <f t="shared" si="47"/>
        <v/>
      </c>
      <c r="AL225" s="609" t="str">
        <f t="shared" si="47"/>
        <v/>
      </c>
      <c r="AM225" s="609" t="str">
        <f t="shared" si="47"/>
        <v/>
      </c>
      <c r="AN225" s="609" t="str">
        <f t="shared" si="47"/>
        <v/>
      </c>
      <c r="AO225" s="609" t="str">
        <f t="shared" si="47"/>
        <v/>
      </c>
      <c r="AP225" s="609" t="str">
        <f t="shared" si="47"/>
        <v/>
      </c>
      <c r="AQ225" s="609" t="str">
        <f t="shared" si="47"/>
        <v/>
      </c>
      <c r="AR225" s="609" t="str">
        <f t="shared" si="47"/>
        <v/>
      </c>
      <c r="AS225" s="609" t="str">
        <f t="shared" si="47"/>
        <v/>
      </c>
      <c r="AT225" s="609" t="str">
        <f t="shared" si="47"/>
        <v/>
      </c>
      <c r="AU225" s="609" t="str">
        <f t="shared" si="47"/>
        <v/>
      </c>
      <c r="AV225" s="609" t="str">
        <f t="shared" si="47"/>
        <v/>
      </c>
      <c r="AW225" s="609" t="str">
        <f t="shared" si="47"/>
        <v/>
      </c>
      <c r="AX225" s="609" t="str">
        <f t="shared" si="47"/>
        <v/>
      </c>
      <c r="AY225" s="609" t="str">
        <f t="shared" si="47"/>
        <v/>
      </c>
      <c r="AZ225" s="609" t="str">
        <f t="shared" si="47"/>
        <v/>
      </c>
      <c r="BA225" s="609" t="str">
        <f t="shared" si="47"/>
        <v/>
      </c>
      <c r="BB225" s="609" t="str">
        <f t="shared" si="47"/>
        <v/>
      </c>
      <c r="BC225" s="609" t="str">
        <f t="shared" si="47"/>
        <v/>
      </c>
      <c r="BD225" s="609" t="str">
        <f t="shared" si="47"/>
        <v/>
      </c>
      <c r="BE225" s="609" t="str">
        <f t="shared" si="47"/>
        <v/>
      </c>
      <c r="BF225" s="609" t="str">
        <f t="shared" si="47"/>
        <v/>
      </c>
      <c r="BG225" s="609" t="str">
        <f t="shared" si="47"/>
        <v/>
      </c>
    </row>
    <row r="226" spans="2:59" x14ac:dyDescent="0.25">
      <c r="B226" s="654">
        <v>220</v>
      </c>
      <c r="C226" s="654"/>
      <c r="D226" s="654"/>
      <c r="E226" s="655"/>
      <c r="F226" s="654"/>
      <c r="H226" s="609" t="str">
        <f t="shared" si="42"/>
        <v/>
      </c>
      <c r="I226" s="609" t="str">
        <f t="shared" si="47"/>
        <v/>
      </c>
      <c r="J226" s="609" t="str">
        <f t="shared" si="47"/>
        <v/>
      </c>
      <c r="K226" s="609" t="str">
        <f t="shared" si="47"/>
        <v/>
      </c>
      <c r="L226" s="609" t="str">
        <f t="shared" si="47"/>
        <v/>
      </c>
      <c r="M226" s="609" t="str">
        <f t="shared" si="47"/>
        <v/>
      </c>
      <c r="N226" s="609" t="str">
        <f t="shared" si="47"/>
        <v/>
      </c>
      <c r="O226" s="609" t="str">
        <f t="shared" si="47"/>
        <v/>
      </c>
      <c r="P226" s="609" t="str">
        <f t="shared" si="47"/>
        <v/>
      </c>
      <c r="Q226" s="609" t="str">
        <f t="shared" si="47"/>
        <v/>
      </c>
      <c r="R226" s="609" t="str">
        <f t="shared" si="47"/>
        <v/>
      </c>
      <c r="S226" s="609" t="str">
        <f t="shared" si="47"/>
        <v/>
      </c>
      <c r="T226" s="609" t="str">
        <f t="shared" si="47"/>
        <v/>
      </c>
      <c r="U226" s="609" t="str">
        <f t="shared" si="47"/>
        <v/>
      </c>
      <c r="V226" s="609" t="str">
        <f t="shared" si="47"/>
        <v/>
      </c>
      <c r="W226" s="609" t="str">
        <f t="shared" si="47"/>
        <v/>
      </c>
      <c r="X226" s="609" t="str">
        <f t="shared" si="47"/>
        <v/>
      </c>
      <c r="Y226" s="609" t="str">
        <f t="shared" si="47"/>
        <v/>
      </c>
      <c r="Z226" s="609" t="str">
        <f t="shared" si="47"/>
        <v/>
      </c>
      <c r="AA226" s="609" t="str">
        <f t="shared" si="47"/>
        <v/>
      </c>
      <c r="AB226" s="609" t="str">
        <f t="shared" si="47"/>
        <v/>
      </c>
      <c r="AC226" s="609" t="str">
        <f t="shared" si="47"/>
        <v/>
      </c>
      <c r="AD226" s="609" t="str">
        <f t="shared" si="47"/>
        <v/>
      </c>
      <c r="AE226" s="609" t="str">
        <f t="shared" si="47"/>
        <v/>
      </c>
      <c r="AF226" s="609" t="str">
        <f t="shared" si="47"/>
        <v/>
      </c>
      <c r="AG226" s="609" t="str">
        <f t="shared" si="47"/>
        <v/>
      </c>
      <c r="AH226" s="609" t="str">
        <f t="shared" si="47"/>
        <v/>
      </c>
      <c r="AI226" s="609" t="str">
        <f t="shared" si="47"/>
        <v/>
      </c>
      <c r="AJ226" s="609" t="str">
        <f t="shared" si="47"/>
        <v/>
      </c>
      <c r="AK226" s="609" t="str">
        <f t="shared" si="47"/>
        <v/>
      </c>
      <c r="AL226" s="609" t="str">
        <f t="shared" si="47"/>
        <v/>
      </c>
      <c r="AM226" s="609" t="str">
        <f t="shared" si="47"/>
        <v/>
      </c>
      <c r="AN226" s="609" t="str">
        <f t="shared" si="47"/>
        <v/>
      </c>
      <c r="AO226" s="609" t="str">
        <f t="shared" si="47"/>
        <v/>
      </c>
      <c r="AP226" s="609" t="str">
        <f t="shared" si="47"/>
        <v/>
      </c>
      <c r="AQ226" s="609" t="str">
        <f t="shared" si="47"/>
        <v/>
      </c>
      <c r="AR226" s="609" t="str">
        <f t="shared" si="47"/>
        <v/>
      </c>
      <c r="AS226" s="609" t="str">
        <f t="shared" si="47"/>
        <v/>
      </c>
      <c r="AT226" s="609" t="str">
        <f t="shared" si="47"/>
        <v/>
      </c>
      <c r="AU226" s="609" t="str">
        <f t="shared" si="47"/>
        <v/>
      </c>
      <c r="AV226" s="609" t="str">
        <f t="shared" si="47"/>
        <v/>
      </c>
      <c r="AW226" s="609" t="str">
        <f t="shared" si="47"/>
        <v/>
      </c>
      <c r="AX226" s="609" t="str">
        <f t="shared" si="47"/>
        <v/>
      </c>
      <c r="AY226" s="609" t="str">
        <f t="shared" si="47"/>
        <v/>
      </c>
      <c r="AZ226" s="609" t="str">
        <f t="shared" si="47"/>
        <v/>
      </c>
      <c r="BA226" s="609" t="str">
        <f t="shared" si="47"/>
        <v/>
      </c>
      <c r="BB226" s="609" t="str">
        <f t="shared" si="47"/>
        <v/>
      </c>
      <c r="BC226" s="609" t="str">
        <f t="shared" si="47"/>
        <v/>
      </c>
      <c r="BD226" s="609" t="str">
        <f t="shared" si="47"/>
        <v/>
      </c>
      <c r="BE226" s="609" t="str">
        <f t="shared" si="47"/>
        <v/>
      </c>
      <c r="BF226" s="609" t="str">
        <f t="shared" si="47"/>
        <v/>
      </c>
      <c r="BG226" s="609" t="str">
        <f t="shared" si="47"/>
        <v/>
      </c>
    </row>
    <row r="227" spans="2:59" x14ac:dyDescent="0.25">
      <c r="B227" s="654">
        <v>221</v>
      </c>
      <c r="C227" s="654"/>
      <c r="D227" s="654"/>
      <c r="E227" s="655"/>
      <c r="F227" s="654"/>
      <c r="H227" s="609" t="str">
        <f t="shared" si="42"/>
        <v/>
      </c>
      <c r="I227" s="609" t="str">
        <f t="shared" si="47"/>
        <v/>
      </c>
      <c r="J227" s="609" t="str">
        <f t="shared" si="47"/>
        <v/>
      </c>
      <c r="K227" s="609" t="str">
        <f t="shared" si="47"/>
        <v/>
      </c>
      <c r="L227" s="609" t="str">
        <f t="shared" si="47"/>
        <v/>
      </c>
      <c r="M227" s="609" t="str">
        <f t="shared" si="47"/>
        <v/>
      </c>
      <c r="N227" s="609" t="str">
        <f t="shared" si="47"/>
        <v/>
      </c>
      <c r="O227" s="609" t="str">
        <f t="shared" si="47"/>
        <v/>
      </c>
      <c r="P227" s="609" t="str">
        <f t="shared" si="47"/>
        <v/>
      </c>
      <c r="Q227" s="609" t="str">
        <f t="shared" si="47"/>
        <v/>
      </c>
      <c r="R227" s="609" t="str">
        <f t="shared" si="47"/>
        <v/>
      </c>
      <c r="S227" s="609" t="str">
        <f t="shared" si="47"/>
        <v/>
      </c>
      <c r="T227" s="609" t="str">
        <f t="shared" si="47"/>
        <v/>
      </c>
      <c r="U227" s="609" t="str">
        <f t="shared" si="47"/>
        <v/>
      </c>
      <c r="V227" s="609" t="str">
        <f t="shared" si="47"/>
        <v/>
      </c>
      <c r="W227" s="609" t="str">
        <f t="shared" si="47"/>
        <v/>
      </c>
      <c r="X227" s="609" t="str">
        <f t="shared" si="47"/>
        <v/>
      </c>
      <c r="Y227" s="609" t="str">
        <f t="shared" si="47"/>
        <v/>
      </c>
      <c r="Z227" s="609" t="str">
        <f t="shared" si="47"/>
        <v/>
      </c>
      <c r="AA227" s="609" t="str">
        <f t="shared" si="47"/>
        <v/>
      </c>
      <c r="AB227" s="609" t="str">
        <f t="shared" si="47"/>
        <v/>
      </c>
      <c r="AC227" s="609" t="str">
        <f t="shared" si="47"/>
        <v/>
      </c>
      <c r="AD227" s="609" t="str">
        <f t="shared" si="47"/>
        <v/>
      </c>
      <c r="AE227" s="609" t="str">
        <f t="shared" si="47"/>
        <v/>
      </c>
      <c r="AF227" s="609" t="str">
        <f t="shared" si="47"/>
        <v/>
      </c>
      <c r="AG227" s="609" t="str">
        <f t="shared" si="47"/>
        <v/>
      </c>
      <c r="AH227" s="609" t="str">
        <f t="shared" si="47"/>
        <v/>
      </c>
      <c r="AI227" s="609" t="str">
        <f t="shared" si="47"/>
        <v/>
      </c>
      <c r="AJ227" s="609" t="str">
        <f t="shared" si="47"/>
        <v/>
      </c>
      <c r="AK227" s="609" t="str">
        <f t="shared" si="47"/>
        <v/>
      </c>
      <c r="AL227" s="609" t="str">
        <f t="shared" si="47"/>
        <v/>
      </c>
      <c r="AM227" s="609" t="str">
        <f t="shared" si="47"/>
        <v/>
      </c>
      <c r="AN227" s="609" t="str">
        <f t="shared" si="47"/>
        <v/>
      </c>
      <c r="AO227" s="609" t="str">
        <f t="shared" si="47"/>
        <v/>
      </c>
      <c r="AP227" s="609" t="str">
        <f t="shared" si="47"/>
        <v/>
      </c>
      <c r="AQ227" s="609" t="str">
        <f t="shared" si="47"/>
        <v/>
      </c>
      <c r="AR227" s="609" t="str">
        <f t="shared" si="47"/>
        <v/>
      </c>
      <c r="AS227" s="609" t="str">
        <f t="shared" si="47"/>
        <v/>
      </c>
      <c r="AT227" s="609" t="str">
        <f t="shared" si="47"/>
        <v/>
      </c>
      <c r="AU227" s="609" t="str">
        <f t="shared" si="47"/>
        <v/>
      </c>
      <c r="AV227" s="609" t="str">
        <f t="shared" si="47"/>
        <v/>
      </c>
      <c r="AW227" s="609" t="str">
        <f t="shared" si="47"/>
        <v/>
      </c>
      <c r="AX227" s="609" t="str">
        <f t="shared" si="47"/>
        <v/>
      </c>
      <c r="AY227" s="609" t="str">
        <f t="shared" si="47"/>
        <v/>
      </c>
      <c r="AZ227" s="609" t="str">
        <f t="shared" si="47"/>
        <v/>
      </c>
      <c r="BA227" s="609" t="str">
        <f t="shared" si="47"/>
        <v/>
      </c>
      <c r="BB227" s="609" t="str">
        <f t="shared" si="47"/>
        <v/>
      </c>
      <c r="BC227" s="609" t="str">
        <f t="shared" si="47"/>
        <v/>
      </c>
      <c r="BD227" s="609" t="str">
        <f t="shared" si="47"/>
        <v/>
      </c>
      <c r="BE227" s="609" t="str">
        <f t="shared" si="47"/>
        <v/>
      </c>
      <c r="BF227" s="609" t="str">
        <f t="shared" si="47"/>
        <v/>
      </c>
      <c r="BG227" s="609" t="str">
        <f t="shared" si="47"/>
        <v/>
      </c>
    </row>
    <row r="228" spans="2:59" x14ac:dyDescent="0.25">
      <c r="B228" s="654">
        <v>222</v>
      </c>
      <c r="C228" s="654"/>
      <c r="D228" s="654"/>
      <c r="E228" s="655"/>
      <c r="F228" s="654"/>
      <c r="H228" s="609" t="str">
        <f t="shared" si="42"/>
        <v/>
      </c>
      <c r="I228" s="609" t="str">
        <f t="shared" si="47"/>
        <v/>
      </c>
      <c r="J228" s="609" t="str">
        <f t="shared" si="47"/>
        <v/>
      </c>
      <c r="K228" s="609" t="str">
        <f t="shared" si="47"/>
        <v/>
      </c>
      <c r="L228" s="609" t="str">
        <f t="shared" si="47"/>
        <v/>
      </c>
      <c r="M228" s="609" t="str">
        <f t="shared" si="47"/>
        <v/>
      </c>
      <c r="N228" s="609" t="str">
        <f t="shared" si="47"/>
        <v/>
      </c>
      <c r="O228" s="609" t="str">
        <f t="shared" si="47"/>
        <v/>
      </c>
      <c r="P228" s="609" t="str">
        <f t="shared" si="47"/>
        <v/>
      </c>
      <c r="Q228" s="609" t="str">
        <f t="shared" si="47"/>
        <v/>
      </c>
      <c r="R228" s="609" t="str">
        <f t="shared" ref="I228:BG233" si="48">IF($D228=R$6,$B228&amp;", ","")</f>
        <v/>
      </c>
      <c r="S228" s="609" t="str">
        <f t="shared" si="48"/>
        <v/>
      </c>
      <c r="T228" s="609" t="str">
        <f t="shared" si="48"/>
        <v/>
      </c>
      <c r="U228" s="609" t="str">
        <f t="shared" si="48"/>
        <v/>
      </c>
      <c r="V228" s="609" t="str">
        <f t="shared" si="48"/>
        <v/>
      </c>
      <c r="W228" s="609" t="str">
        <f t="shared" si="48"/>
        <v/>
      </c>
      <c r="X228" s="609" t="str">
        <f t="shared" si="48"/>
        <v/>
      </c>
      <c r="Y228" s="609" t="str">
        <f t="shared" si="48"/>
        <v/>
      </c>
      <c r="Z228" s="609" t="str">
        <f t="shared" si="48"/>
        <v/>
      </c>
      <c r="AA228" s="609" t="str">
        <f t="shared" si="48"/>
        <v/>
      </c>
      <c r="AB228" s="609" t="str">
        <f t="shared" si="48"/>
        <v/>
      </c>
      <c r="AC228" s="609" t="str">
        <f t="shared" si="48"/>
        <v/>
      </c>
      <c r="AD228" s="609" t="str">
        <f t="shared" si="48"/>
        <v/>
      </c>
      <c r="AE228" s="609" t="str">
        <f t="shared" si="48"/>
        <v/>
      </c>
      <c r="AF228" s="609" t="str">
        <f t="shared" si="48"/>
        <v/>
      </c>
      <c r="AG228" s="609" t="str">
        <f t="shared" si="48"/>
        <v/>
      </c>
      <c r="AH228" s="609" t="str">
        <f t="shared" si="48"/>
        <v/>
      </c>
      <c r="AI228" s="609" t="str">
        <f t="shared" si="48"/>
        <v/>
      </c>
      <c r="AJ228" s="609" t="str">
        <f t="shared" si="48"/>
        <v/>
      </c>
      <c r="AK228" s="609" t="str">
        <f t="shared" si="48"/>
        <v/>
      </c>
      <c r="AL228" s="609" t="str">
        <f t="shared" si="48"/>
        <v/>
      </c>
      <c r="AM228" s="609" t="str">
        <f t="shared" si="48"/>
        <v/>
      </c>
      <c r="AN228" s="609" t="str">
        <f t="shared" si="48"/>
        <v/>
      </c>
      <c r="AO228" s="609" t="str">
        <f t="shared" si="48"/>
        <v/>
      </c>
      <c r="AP228" s="609" t="str">
        <f t="shared" si="48"/>
        <v/>
      </c>
      <c r="AQ228" s="609" t="str">
        <f t="shared" si="48"/>
        <v/>
      </c>
      <c r="AR228" s="609" t="str">
        <f t="shared" si="48"/>
        <v/>
      </c>
      <c r="AS228" s="609" t="str">
        <f t="shared" si="48"/>
        <v/>
      </c>
      <c r="AT228" s="609" t="str">
        <f t="shared" si="48"/>
        <v/>
      </c>
      <c r="AU228" s="609" t="str">
        <f t="shared" si="48"/>
        <v/>
      </c>
      <c r="AV228" s="609" t="str">
        <f t="shared" si="48"/>
        <v/>
      </c>
      <c r="AW228" s="609" t="str">
        <f t="shared" si="48"/>
        <v/>
      </c>
      <c r="AX228" s="609" t="str">
        <f t="shared" si="48"/>
        <v/>
      </c>
      <c r="AY228" s="609" t="str">
        <f t="shared" si="48"/>
        <v/>
      </c>
      <c r="AZ228" s="609" t="str">
        <f t="shared" si="48"/>
        <v/>
      </c>
      <c r="BA228" s="609" t="str">
        <f t="shared" si="48"/>
        <v/>
      </c>
      <c r="BB228" s="609" t="str">
        <f t="shared" si="48"/>
        <v/>
      </c>
      <c r="BC228" s="609" t="str">
        <f t="shared" si="48"/>
        <v/>
      </c>
      <c r="BD228" s="609" t="str">
        <f t="shared" si="48"/>
        <v/>
      </c>
      <c r="BE228" s="609" t="str">
        <f t="shared" si="48"/>
        <v/>
      </c>
      <c r="BF228" s="609" t="str">
        <f t="shared" si="48"/>
        <v/>
      </c>
      <c r="BG228" s="609" t="str">
        <f t="shared" si="48"/>
        <v/>
      </c>
    </row>
    <row r="229" spans="2:59" x14ac:dyDescent="0.25">
      <c r="B229" s="654">
        <v>223</v>
      </c>
      <c r="C229" s="654"/>
      <c r="D229" s="654"/>
      <c r="E229" s="655"/>
      <c r="F229" s="654"/>
      <c r="H229" s="609" t="str">
        <f t="shared" si="42"/>
        <v/>
      </c>
      <c r="I229" s="609" t="str">
        <f t="shared" si="48"/>
        <v/>
      </c>
      <c r="J229" s="609" t="str">
        <f t="shared" si="48"/>
        <v/>
      </c>
      <c r="K229" s="609" t="str">
        <f t="shared" si="48"/>
        <v/>
      </c>
      <c r="L229" s="609" t="str">
        <f t="shared" si="48"/>
        <v/>
      </c>
      <c r="M229" s="609" t="str">
        <f t="shared" si="48"/>
        <v/>
      </c>
      <c r="N229" s="609" t="str">
        <f t="shared" si="48"/>
        <v/>
      </c>
      <c r="O229" s="609" t="str">
        <f t="shared" si="48"/>
        <v/>
      </c>
      <c r="P229" s="609" t="str">
        <f t="shared" si="48"/>
        <v/>
      </c>
      <c r="Q229" s="609" t="str">
        <f t="shared" si="48"/>
        <v/>
      </c>
      <c r="R229" s="609" t="str">
        <f t="shared" si="48"/>
        <v/>
      </c>
      <c r="S229" s="609" t="str">
        <f t="shared" si="48"/>
        <v/>
      </c>
      <c r="T229" s="609" t="str">
        <f t="shared" si="48"/>
        <v/>
      </c>
      <c r="U229" s="609" t="str">
        <f t="shared" si="48"/>
        <v/>
      </c>
      <c r="V229" s="609" t="str">
        <f t="shared" si="48"/>
        <v/>
      </c>
      <c r="W229" s="609" t="str">
        <f t="shared" si="48"/>
        <v/>
      </c>
      <c r="X229" s="609" t="str">
        <f t="shared" si="48"/>
        <v/>
      </c>
      <c r="Y229" s="609" t="str">
        <f t="shared" si="48"/>
        <v/>
      </c>
      <c r="Z229" s="609" t="str">
        <f t="shared" si="48"/>
        <v/>
      </c>
      <c r="AA229" s="609" t="str">
        <f t="shared" si="48"/>
        <v/>
      </c>
      <c r="AB229" s="609" t="str">
        <f t="shared" si="48"/>
        <v/>
      </c>
      <c r="AC229" s="609" t="str">
        <f t="shared" si="48"/>
        <v/>
      </c>
      <c r="AD229" s="609" t="str">
        <f t="shared" si="48"/>
        <v/>
      </c>
      <c r="AE229" s="609" t="str">
        <f t="shared" si="48"/>
        <v/>
      </c>
      <c r="AF229" s="609" t="str">
        <f t="shared" si="48"/>
        <v/>
      </c>
      <c r="AG229" s="609" t="str">
        <f t="shared" si="48"/>
        <v/>
      </c>
      <c r="AH229" s="609" t="str">
        <f t="shared" si="48"/>
        <v/>
      </c>
      <c r="AI229" s="609" t="str">
        <f t="shared" si="48"/>
        <v/>
      </c>
      <c r="AJ229" s="609" t="str">
        <f t="shared" si="48"/>
        <v/>
      </c>
      <c r="AK229" s="609" t="str">
        <f t="shared" si="48"/>
        <v/>
      </c>
      <c r="AL229" s="609" t="str">
        <f t="shared" si="48"/>
        <v/>
      </c>
      <c r="AM229" s="609" t="str">
        <f t="shared" si="48"/>
        <v/>
      </c>
      <c r="AN229" s="609" t="str">
        <f t="shared" si="48"/>
        <v/>
      </c>
      <c r="AO229" s="609" t="str">
        <f t="shared" si="48"/>
        <v/>
      </c>
      <c r="AP229" s="609" t="str">
        <f t="shared" si="48"/>
        <v/>
      </c>
      <c r="AQ229" s="609" t="str">
        <f t="shared" si="48"/>
        <v/>
      </c>
      <c r="AR229" s="609" t="str">
        <f t="shared" si="48"/>
        <v/>
      </c>
      <c r="AS229" s="609" t="str">
        <f t="shared" si="48"/>
        <v/>
      </c>
      <c r="AT229" s="609" t="str">
        <f t="shared" si="48"/>
        <v/>
      </c>
      <c r="AU229" s="609" t="str">
        <f t="shared" si="48"/>
        <v/>
      </c>
      <c r="AV229" s="609" t="str">
        <f t="shared" si="48"/>
        <v/>
      </c>
      <c r="AW229" s="609" t="str">
        <f t="shared" si="48"/>
        <v/>
      </c>
      <c r="AX229" s="609" t="str">
        <f t="shared" si="48"/>
        <v/>
      </c>
      <c r="AY229" s="609" t="str">
        <f t="shared" si="48"/>
        <v/>
      </c>
      <c r="AZ229" s="609" t="str">
        <f t="shared" si="48"/>
        <v/>
      </c>
      <c r="BA229" s="609" t="str">
        <f t="shared" si="48"/>
        <v/>
      </c>
      <c r="BB229" s="609" t="str">
        <f t="shared" si="48"/>
        <v/>
      </c>
      <c r="BC229" s="609" t="str">
        <f t="shared" si="48"/>
        <v/>
      </c>
      <c r="BD229" s="609" t="str">
        <f t="shared" si="48"/>
        <v/>
      </c>
      <c r="BE229" s="609" t="str">
        <f t="shared" si="48"/>
        <v/>
      </c>
      <c r="BF229" s="609" t="str">
        <f t="shared" si="48"/>
        <v/>
      </c>
      <c r="BG229" s="609" t="str">
        <f t="shared" si="48"/>
        <v/>
      </c>
    </row>
    <row r="230" spans="2:59" x14ac:dyDescent="0.25">
      <c r="B230" s="654">
        <v>224</v>
      </c>
      <c r="C230" s="654"/>
      <c r="D230" s="654"/>
      <c r="E230" s="655"/>
      <c r="F230" s="654"/>
      <c r="H230" s="609" t="str">
        <f t="shared" si="42"/>
        <v/>
      </c>
      <c r="I230" s="609" t="str">
        <f t="shared" si="48"/>
        <v/>
      </c>
      <c r="J230" s="609" t="str">
        <f t="shared" si="48"/>
        <v/>
      </c>
      <c r="K230" s="609" t="str">
        <f t="shared" si="48"/>
        <v/>
      </c>
      <c r="L230" s="609" t="str">
        <f t="shared" si="48"/>
        <v/>
      </c>
      <c r="M230" s="609" t="str">
        <f t="shared" si="48"/>
        <v/>
      </c>
      <c r="N230" s="609" t="str">
        <f t="shared" si="48"/>
        <v/>
      </c>
      <c r="O230" s="609" t="str">
        <f t="shared" si="48"/>
        <v/>
      </c>
      <c r="P230" s="609" t="str">
        <f t="shared" si="48"/>
        <v/>
      </c>
      <c r="Q230" s="609" t="str">
        <f t="shared" si="48"/>
        <v/>
      </c>
      <c r="R230" s="609" t="str">
        <f t="shared" si="48"/>
        <v/>
      </c>
      <c r="S230" s="609" t="str">
        <f t="shared" si="48"/>
        <v/>
      </c>
      <c r="T230" s="609" t="str">
        <f t="shared" si="48"/>
        <v/>
      </c>
      <c r="U230" s="609" t="str">
        <f t="shared" si="48"/>
        <v/>
      </c>
      <c r="V230" s="609" t="str">
        <f t="shared" si="48"/>
        <v/>
      </c>
      <c r="W230" s="609" t="str">
        <f t="shared" si="48"/>
        <v/>
      </c>
      <c r="X230" s="609" t="str">
        <f t="shared" si="48"/>
        <v/>
      </c>
      <c r="Y230" s="609" t="str">
        <f t="shared" si="48"/>
        <v/>
      </c>
      <c r="Z230" s="609" t="str">
        <f t="shared" si="48"/>
        <v/>
      </c>
      <c r="AA230" s="609" t="str">
        <f t="shared" si="48"/>
        <v/>
      </c>
      <c r="AB230" s="609" t="str">
        <f t="shared" si="48"/>
        <v/>
      </c>
      <c r="AC230" s="609" t="str">
        <f t="shared" si="48"/>
        <v/>
      </c>
      <c r="AD230" s="609" t="str">
        <f t="shared" si="48"/>
        <v/>
      </c>
      <c r="AE230" s="609" t="str">
        <f t="shared" si="48"/>
        <v/>
      </c>
      <c r="AF230" s="609" t="str">
        <f t="shared" si="48"/>
        <v/>
      </c>
      <c r="AG230" s="609" t="str">
        <f t="shared" si="48"/>
        <v/>
      </c>
      <c r="AH230" s="609" t="str">
        <f t="shared" si="48"/>
        <v/>
      </c>
      <c r="AI230" s="609" t="str">
        <f t="shared" si="48"/>
        <v/>
      </c>
      <c r="AJ230" s="609" t="str">
        <f t="shared" si="48"/>
        <v/>
      </c>
      <c r="AK230" s="609" t="str">
        <f t="shared" si="48"/>
        <v/>
      </c>
      <c r="AL230" s="609" t="str">
        <f t="shared" si="48"/>
        <v/>
      </c>
      <c r="AM230" s="609" t="str">
        <f t="shared" si="48"/>
        <v/>
      </c>
      <c r="AN230" s="609" t="str">
        <f t="shared" si="48"/>
        <v/>
      </c>
      <c r="AO230" s="609" t="str">
        <f t="shared" si="48"/>
        <v/>
      </c>
      <c r="AP230" s="609" t="str">
        <f t="shared" si="48"/>
        <v/>
      </c>
      <c r="AQ230" s="609" t="str">
        <f t="shared" si="48"/>
        <v/>
      </c>
      <c r="AR230" s="609" t="str">
        <f t="shared" si="48"/>
        <v/>
      </c>
      <c r="AS230" s="609" t="str">
        <f t="shared" si="48"/>
        <v/>
      </c>
      <c r="AT230" s="609" t="str">
        <f t="shared" si="48"/>
        <v/>
      </c>
      <c r="AU230" s="609" t="str">
        <f t="shared" si="48"/>
        <v/>
      </c>
      <c r="AV230" s="609" t="str">
        <f t="shared" si="48"/>
        <v/>
      </c>
      <c r="AW230" s="609" t="str">
        <f t="shared" si="48"/>
        <v/>
      </c>
      <c r="AX230" s="609" t="str">
        <f t="shared" si="48"/>
        <v/>
      </c>
      <c r="AY230" s="609" t="str">
        <f t="shared" si="48"/>
        <v/>
      </c>
      <c r="AZ230" s="609" t="str">
        <f t="shared" si="48"/>
        <v/>
      </c>
      <c r="BA230" s="609" t="str">
        <f t="shared" si="48"/>
        <v/>
      </c>
      <c r="BB230" s="609" t="str">
        <f t="shared" si="48"/>
        <v/>
      </c>
      <c r="BC230" s="609" t="str">
        <f t="shared" si="48"/>
        <v/>
      </c>
      <c r="BD230" s="609" t="str">
        <f t="shared" si="48"/>
        <v/>
      </c>
      <c r="BE230" s="609" t="str">
        <f t="shared" si="48"/>
        <v/>
      </c>
      <c r="BF230" s="609" t="str">
        <f t="shared" si="48"/>
        <v/>
      </c>
      <c r="BG230" s="609" t="str">
        <f t="shared" si="48"/>
        <v/>
      </c>
    </row>
    <row r="231" spans="2:59" x14ac:dyDescent="0.25">
      <c r="B231" s="654">
        <v>225</v>
      </c>
      <c r="C231" s="654"/>
      <c r="D231" s="654"/>
      <c r="E231" s="655"/>
      <c r="F231" s="654"/>
      <c r="H231" s="609" t="str">
        <f t="shared" si="42"/>
        <v/>
      </c>
      <c r="I231" s="609" t="str">
        <f t="shared" si="48"/>
        <v/>
      </c>
      <c r="J231" s="609" t="str">
        <f t="shared" si="48"/>
        <v/>
      </c>
      <c r="K231" s="609" t="str">
        <f t="shared" si="48"/>
        <v/>
      </c>
      <c r="L231" s="609" t="str">
        <f t="shared" si="48"/>
        <v/>
      </c>
      <c r="M231" s="609" t="str">
        <f t="shared" si="48"/>
        <v/>
      </c>
      <c r="N231" s="609" t="str">
        <f t="shared" si="48"/>
        <v/>
      </c>
      <c r="O231" s="609" t="str">
        <f t="shared" si="48"/>
        <v/>
      </c>
      <c r="P231" s="609" t="str">
        <f t="shared" si="48"/>
        <v/>
      </c>
      <c r="Q231" s="609" t="str">
        <f t="shared" si="48"/>
        <v/>
      </c>
      <c r="R231" s="609" t="str">
        <f t="shared" si="48"/>
        <v/>
      </c>
      <c r="S231" s="609" t="str">
        <f t="shared" si="48"/>
        <v/>
      </c>
      <c r="T231" s="609" t="str">
        <f t="shared" si="48"/>
        <v/>
      </c>
      <c r="U231" s="609" t="str">
        <f t="shared" si="48"/>
        <v/>
      </c>
      <c r="V231" s="609" t="str">
        <f t="shared" si="48"/>
        <v/>
      </c>
      <c r="W231" s="609" t="str">
        <f t="shared" si="48"/>
        <v/>
      </c>
      <c r="X231" s="609" t="str">
        <f t="shared" si="48"/>
        <v/>
      </c>
      <c r="Y231" s="609" t="str">
        <f t="shared" si="48"/>
        <v/>
      </c>
      <c r="Z231" s="609" t="str">
        <f t="shared" si="48"/>
        <v/>
      </c>
      <c r="AA231" s="609" t="str">
        <f t="shared" si="48"/>
        <v/>
      </c>
      <c r="AB231" s="609" t="str">
        <f t="shared" si="48"/>
        <v/>
      </c>
      <c r="AC231" s="609" t="str">
        <f t="shared" si="48"/>
        <v/>
      </c>
      <c r="AD231" s="609" t="str">
        <f t="shared" si="48"/>
        <v/>
      </c>
      <c r="AE231" s="609" t="str">
        <f t="shared" si="48"/>
        <v/>
      </c>
      <c r="AF231" s="609" t="str">
        <f t="shared" si="48"/>
        <v/>
      </c>
      <c r="AG231" s="609" t="str">
        <f t="shared" si="48"/>
        <v/>
      </c>
      <c r="AH231" s="609" t="str">
        <f t="shared" si="48"/>
        <v/>
      </c>
      <c r="AI231" s="609" t="str">
        <f t="shared" si="48"/>
        <v/>
      </c>
      <c r="AJ231" s="609" t="str">
        <f t="shared" si="48"/>
        <v/>
      </c>
      <c r="AK231" s="609" t="str">
        <f t="shared" si="48"/>
        <v/>
      </c>
      <c r="AL231" s="609" t="str">
        <f t="shared" si="48"/>
        <v/>
      </c>
      <c r="AM231" s="609" t="str">
        <f t="shared" si="48"/>
        <v/>
      </c>
      <c r="AN231" s="609" t="str">
        <f t="shared" si="48"/>
        <v/>
      </c>
      <c r="AO231" s="609" t="str">
        <f t="shared" si="48"/>
        <v/>
      </c>
      <c r="AP231" s="609" t="str">
        <f t="shared" si="48"/>
        <v/>
      </c>
      <c r="AQ231" s="609" t="str">
        <f t="shared" si="48"/>
        <v/>
      </c>
      <c r="AR231" s="609" t="str">
        <f t="shared" si="48"/>
        <v/>
      </c>
      <c r="AS231" s="609" t="str">
        <f t="shared" si="48"/>
        <v/>
      </c>
      <c r="AT231" s="609" t="str">
        <f t="shared" si="48"/>
        <v/>
      </c>
      <c r="AU231" s="609" t="str">
        <f t="shared" si="48"/>
        <v/>
      </c>
      <c r="AV231" s="609" t="str">
        <f t="shared" si="48"/>
        <v/>
      </c>
      <c r="AW231" s="609" t="str">
        <f t="shared" si="48"/>
        <v/>
      </c>
      <c r="AX231" s="609" t="str">
        <f t="shared" si="48"/>
        <v/>
      </c>
      <c r="AY231" s="609" t="str">
        <f t="shared" si="48"/>
        <v/>
      </c>
      <c r="AZ231" s="609" t="str">
        <f t="shared" si="48"/>
        <v/>
      </c>
      <c r="BA231" s="609" t="str">
        <f t="shared" si="48"/>
        <v/>
      </c>
      <c r="BB231" s="609" t="str">
        <f t="shared" si="48"/>
        <v/>
      </c>
      <c r="BC231" s="609" t="str">
        <f t="shared" si="48"/>
        <v/>
      </c>
      <c r="BD231" s="609" t="str">
        <f t="shared" si="48"/>
        <v/>
      </c>
      <c r="BE231" s="609" t="str">
        <f t="shared" si="48"/>
        <v/>
      </c>
      <c r="BF231" s="609" t="str">
        <f t="shared" si="48"/>
        <v/>
      </c>
      <c r="BG231" s="609" t="str">
        <f t="shared" si="48"/>
        <v/>
      </c>
    </row>
    <row r="232" spans="2:59" x14ac:dyDescent="0.25">
      <c r="B232" s="654">
        <v>226</v>
      </c>
      <c r="C232" s="654"/>
      <c r="D232" s="654"/>
      <c r="E232" s="655"/>
      <c r="F232" s="654"/>
      <c r="H232" s="609" t="str">
        <f t="shared" si="42"/>
        <v/>
      </c>
      <c r="I232" s="609" t="str">
        <f t="shared" si="48"/>
        <v/>
      </c>
      <c r="J232" s="609" t="str">
        <f t="shared" si="48"/>
        <v/>
      </c>
      <c r="K232" s="609" t="str">
        <f t="shared" si="48"/>
        <v/>
      </c>
      <c r="L232" s="609" t="str">
        <f t="shared" si="48"/>
        <v/>
      </c>
      <c r="M232" s="609" t="str">
        <f t="shared" si="48"/>
        <v/>
      </c>
      <c r="N232" s="609" t="str">
        <f t="shared" si="48"/>
        <v/>
      </c>
      <c r="O232" s="609" t="str">
        <f t="shared" si="48"/>
        <v/>
      </c>
      <c r="P232" s="609" t="str">
        <f t="shared" si="48"/>
        <v/>
      </c>
      <c r="Q232" s="609" t="str">
        <f t="shared" si="48"/>
        <v/>
      </c>
      <c r="R232" s="609" t="str">
        <f t="shared" si="48"/>
        <v/>
      </c>
      <c r="S232" s="609" t="str">
        <f t="shared" si="48"/>
        <v/>
      </c>
      <c r="T232" s="609" t="str">
        <f t="shared" si="48"/>
        <v/>
      </c>
      <c r="U232" s="609" t="str">
        <f t="shared" si="48"/>
        <v/>
      </c>
      <c r="V232" s="609" t="str">
        <f t="shared" si="48"/>
        <v/>
      </c>
      <c r="W232" s="609" t="str">
        <f t="shared" si="48"/>
        <v/>
      </c>
      <c r="X232" s="609" t="str">
        <f t="shared" si="48"/>
        <v/>
      </c>
      <c r="Y232" s="609" t="str">
        <f t="shared" si="48"/>
        <v/>
      </c>
      <c r="Z232" s="609" t="str">
        <f t="shared" si="48"/>
        <v/>
      </c>
      <c r="AA232" s="609" t="str">
        <f t="shared" si="48"/>
        <v/>
      </c>
      <c r="AB232" s="609" t="str">
        <f t="shared" si="48"/>
        <v/>
      </c>
      <c r="AC232" s="609" t="str">
        <f t="shared" si="48"/>
        <v/>
      </c>
      <c r="AD232" s="609" t="str">
        <f t="shared" si="48"/>
        <v/>
      </c>
      <c r="AE232" s="609" t="str">
        <f t="shared" si="48"/>
        <v/>
      </c>
      <c r="AF232" s="609" t="str">
        <f t="shared" si="48"/>
        <v/>
      </c>
      <c r="AG232" s="609" t="str">
        <f t="shared" si="48"/>
        <v/>
      </c>
      <c r="AH232" s="609" t="str">
        <f t="shared" si="48"/>
        <v/>
      </c>
      <c r="AI232" s="609" t="str">
        <f t="shared" si="48"/>
        <v/>
      </c>
      <c r="AJ232" s="609" t="str">
        <f t="shared" si="48"/>
        <v/>
      </c>
      <c r="AK232" s="609" t="str">
        <f t="shared" si="48"/>
        <v/>
      </c>
      <c r="AL232" s="609" t="str">
        <f t="shared" si="48"/>
        <v/>
      </c>
      <c r="AM232" s="609" t="str">
        <f t="shared" si="48"/>
        <v/>
      </c>
      <c r="AN232" s="609" t="str">
        <f t="shared" si="48"/>
        <v/>
      </c>
      <c r="AO232" s="609" t="str">
        <f t="shared" si="48"/>
        <v/>
      </c>
      <c r="AP232" s="609" t="str">
        <f t="shared" si="48"/>
        <v/>
      </c>
      <c r="AQ232" s="609" t="str">
        <f t="shared" si="48"/>
        <v/>
      </c>
      <c r="AR232" s="609" t="str">
        <f t="shared" si="48"/>
        <v/>
      </c>
      <c r="AS232" s="609" t="str">
        <f t="shared" si="48"/>
        <v/>
      </c>
      <c r="AT232" s="609" t="str">
        <f t="shared" si="48"/>
        <v/>
      </c>
      <c r="AU232" s="609" t="str">
        <f t="shared" si="48"/>
        <v/>
      </c>
      <c r="AV232" s="609" t="str">
        <f t="shared" si="48"/>
        <v/>
      </c>
      <c r="AW232" s="609" t="str">
        <f t="shared" si="48"/>
        <v/>
      </c>
      <c r="AX232" s="609" t="str">
        <f t="shared" si="48"/>
        <v/>
      </c>
      <c r="AY232" s="609" t="str">
        <f t="shared" si="48"/>
        <v/>
      </c>
      <c r="AZ232" s="609" t="str">
        <f t="shared" si="48"/>
        <v/>
      </c>
      <c r="BA232" s="609" t="str">
        <f t="shared" si="48"/>
        <v/>
      </c>
      <c r="BB232" s="609" t="str">
        <f t="shared" si="48"/>
        <v/>
      </c>
      <c r="BC232" s="609" t="str">
        <f t="shared" si="48"/>
        <v/>
      </c>
      <c r="BD232" s="609" t="str">
        <f t="shared" si="48"/>
        <v/>
      </c>
      <c r="BE232" s="609" t="str">
        <f t="shared" si="48"/>
        <v/>
      </c>
      <c r="BF232" s="609" t="str">
        <f t="shared" si="48"/>
        <v/>
      </c>
      <c r="BG232" s="609" t="str">
        <f t="shared" si="48"/>
        <v/>
      </c>
    </row>
    <row r="233" spans="2:59" x14ac:dyDescent="0.25">
      <c r="B233" s="654">
        <v>227</v>
      </c>
      <c r="C233" s="654"/>
      <c r="D233" s="654"/>
      <c r="E233" s="655"/>
      <c r="F233" s="654"/>
      <c r="H233" s="609" t="str">
        <f t="shared" si="42"/>
        <v/>
      </c>
      <c r="I233" s="609" t="str">
        <f t="shared" si="48"/>
        <v/>
      </c>
      <c r="J233" s="609" t="str">
        <f t="shared" si="48"/>
        <v/>
      </c>
      <c r="K233" s="609" t="str">
        <f t="shared" si="48"/>
        <v/>
      </c>
      <c r="L233" s="609" t="str">
        <f t="shared" si="48"/>
        <v/>
      </c>
      <c r="M233" s="609" t="str">
        <f t="shared" si="48"/>
        <v/>
      </c>
      <c r="N233" s="609" t="str">
        <f t="shared" si="48"/>
        <v/>
      </c>
      <c r="O233" s="609" t="str">
        <f t="shared" si="48"/>
        <v/>
      </c>
      <c r="P233" s="609" t="str">
        <f t="shared" si="48"/>
        <v/>
      </c>
      <c r="Q233" s="609" t="str">
        <f t="shared" si="48"/>
        <v/>
      </c>
      <c r="R233" s="609" t="str">
        <f t="shared" ref="I233:BG238" si="49">IF($D233=R$6,$B233&amp;", ","")</f>
        <v/>
      </c>
      <c r="S233" s="609" t="str">
        <f t="shared" si="49"/>
        <v/>
      </c>
      <c r="T233" s="609" t="str">
        <f t="shared" si="49"/>
        <v/>
      </c>
      <c r="U233" s="609" t="str">
        <f t="shared" si="49"/>
        <v/>
      </c>
      <c r="V233" s="609" t="str">
        <f t="shared" si="49"/>
        <v/>
      </c>
      <c r="W233" s="609" t="str">
        <f t="shared" si="49"/>
        <v/>
      </c>
      <c r="X233" s="609" t="str">
        <f t="shared" si="49"/>
        <v/>
      </c>
      <c r="Y233" s="609" t="str">
        <f t="shared" si="49"/>
        <v/>
      </c>
      <c r="Z233" s="609" t="str">
        <f t="shared" si="49"/>
        <v/>
      </c>
      <c r="AA233" s="609" t="str">
        <f t="shared" si="49"/>
        <v/>
      </c>
      <c r="AB233" s="609" t="str">
        <f t="shared" si="49"/>
        <v/>
      </c>
      <c r="AC233" s="609" t="str">
        <f t="shared" si="49"/>
        <v/>
      </c>
      <c r="AD233" s="609" t="str">
        <f t="shared" si="49"/>
        <v/>
      </c>
      <c r="AE233" s="609" t="str">
        <f t="shared" si="49"/>
        <v/>
      </c>
      <c r="AF233" s="609" t="str">
        <f t="shared" si="49"/>
        <v/>
      </c>
      <c r="AG233" s="609" t="str">
        <f t="shared" si="49"/>
        <v/>
      </c>
      <c r="AH233" s="609" t="str">
        <f t="shared" si="49"/>
        <v/>
      </c>
      <c r="AI233" s="609" t="str">
        <f t="shared" si="49"/>
        <v/>
      </c>
      <c r="AJ233" s="609" t="str">
        <f t="shared" si="49"/>
        <v/>
      </c>
      <c r="AK233" s="609" t="str">
        <f t="shared" si="49"/>
        <v/>
      </c>
      <c r="AL233" s="609" t="str">
        <f t="shared" si="49"/>
        <v/>
      </c>
      <c r="AM233" s="609" t="str">
        <f t="shared" si="49"/>
        <v/>
      </c>
      <c r="AN233" s="609" t="str">
        <f t="shared" si="49"/>
        <v/>
      </c>
      <c r="AO233" s="609" t="str">
        <f t="shared" si="49"/>
        <v/>
      </c>
      <c r="AP233" s="609" t="str">
        <f t="shared" si="49"/>
        <v/>
      </c>
      <c r="AQ233" s="609" t="str">
        <f t="shared" si="49"/>
        <v/>
      </c>
      <c r="AR233" s="609" t="str">
        <f t="shared" si="49"/>
        <v/>
      </c>
      <c r="AS233" s="609" t="str">
        <f t="shared" si="49"/>
        <v/>
      </c>
      <c r="AT233" s="609" t="str">
        <f t="shared" si="49"/>
        <v/>
      </c>
      <c r="AU233" s="609" t="str">
        <f t="shared" si="49"/>
        <v/>
      </c>
      <c r="AV233" s="609" t="str">
        <f t="shared" si="49"/>
        <v/>
      </c>
      <c r="AW233" s="609" t="str">
        <f t="shared" si="49"/>
        <v/>
      </c>
      <c r="AX233" s="609" t="str">
        <f t="shared" si="49"/>
        <v/>
      </c>
      <c r="AY233" s="609" t="str">
        <f t="shared" si="49"/>
        <v/>
      </c>
      <c r="AZ233" s="609" t="str">
        <f t="shared" si="49"/>
        <v/>
      </c>
      <c r="BA233" s="609" t="str">
        <f t="shared" si="49"/>
        <v/>
      </c>
      <c r="BB233" s="609" t="str">
        <f t="shared" si="49"/>
        <v/>
      </c>
      <c r="BC233" s="609" t="str">
        <f t="shared" si="49"/>
        <v/>
      </c>
      <c r="BD233" s="609" t="str">
        <f t="shared" si="49"/>
        <v/>
      </c>
      <c r="BE233" s="609" t="str">
        <f t="shared" si="49"/>
        <v/>
      </c>
      <c r="BF233" s="609" t="str">
        <f t="shared" si="49"/>
        <v/>
      </c>
      <c r="BG233" s="609" t="str">
        <f t="shared" si="49"/>
        <v/>
      </c>
    </row>
    <row r="234" spans="2:59" x14ac:dyDescent="0.25">
      <c r="B234" s="654">
        <v>228</v>
      </c>
      <c r="C234" s="654"/>
      <c r="D234" s="654"/>
      <c r="E234" s="655"/>
      <c r="F234" s="654"/>
      <c r="H234" s="609" t="str">
        <f t="shared" si="42"/>
        <v/>
      </c>
      <c r="I234" s="609" t="str">
        <f t="shared" si="49"/>
        <v/>
      </c>
      <c r="J234" s="609" t="str">
        <f t="shared" si="49"/>
        <v/>
      </c>
      <c r="K234" s="609" t="str">
        <f t="shared" si="49"/>
        <v/>
      </c>
      <c r="L234" s="609" t="str">
        <f t="shared" si="49"/>
        <v/>
      </c>
      <c r="M234" s="609" t="str">
        <f t="shared" si="49"/>
        <v/>
      </c>
      <c r="N234" s="609" t="str">
        <f t="shared" si="49"/>
        <v/>
      </c>
      <c r="O234" s="609" t="str">
        <f t="shared" si="49"/>
        <v/>
      </c>
      <c r="P234" s="609" t="str">
        <f t="shared" si="49"/>
        <v/>
      </c>
      <c r="Q234" s="609" t="str">
        <f t="shared" si="49"/>
        <v/>
      </c>
      <c r="R234" s="609" t="str">
        <f t="shared" si="49"/>
        <v/>
      </c>
      <c r="S234" s="609" t="str">
        <f t="shared" si="49"/>
        <v/>
      </c>
      <c r="T234" s="609" t="str">
        <f t="shared" si="49"/>
        <v/>
      </c>
      <c r="U234" s="609" t="str">
        <f t="shared" si="49"/>
        <v/>
      </c>
      <c r="V234" s="609" t="str">
        <f t="shared" si="49"/>
        <v/>
      </c>
      <c r="W234" s="609" t="str">
        <f t="shared" si="49"/>
        <v/>
      </c>
      <c r="X234" s="609" t="str">
        <f t="shared" si="49"/>
        <v/>
      </c>
      <c r="Y234" s="609" t="str">
        <f t="shared" si="49"/>
        <v/>
      </c>
      <c r="Z234" s="609" t="str">
        <f t="shared" si="49"/>
        <v/>
      </c>
      <c r="AA234" s="609" t="str">
        <f t="shared" si="49"/>
        <v/>
      </c>
      <c r="AB234" s="609" t="str">
        <f t="shared" si="49"/>
        <v/>
      </c>
      <c r="AC234" s="609" t="str">
        <f t="shared" si="49"/>
        <v/>
      </c>
      <c r="AD234" s="609" t="str">
        <f t="shared" si="49"/>
        <v/>
      </c>
      <c r="AE234" s="609" t="str">
        <f t="shared" si="49"/>
        <v/>
      </c>
      <c r="AF234" s="609" t="str">
        <f t="shared" si="49"/>
        <v/>
      </c>
      <c r="AG234" s="609" t="str">
        <f t="shared" si="49"/>
        <v/>
      </c>
      <c r="AH234" s="609" t="str">
        <f t="shared" si="49"/>
        <v/>
      </c>
      <c r="AI234" s="609" t="str">
        <f t="shared" si="49"/>
        <v/>
      </c>
      <c r="AJ234" s="609" t="str">
        <f t="shared" si="49"/>
        <v/>
      </c>
      <c r="AK234" s="609" t="str">
        <f t="shared" si="49"/>
        <v/>
      </c>
      <c r="AL234" s="609" t="str">
        <f t="shared" si="49"/>
        <v/>
      </c>
      <c r="AM234" s="609" t="str">
        <f t="shared" si="49"/>
        <v/>
      </c>
      <c r="AN234" s="609" t="str">
        <f t="shared" si="49"/>
        <v/>
      </c>
      <c r="AO234" s="609" t="str">
        <f t="shared" si="49"/>
        <v/>
      </c>
      <c r="AP234" s="609" t="str">
        <f t="shared" si="49"/>
        <v/>
      </c>
      <c r="AQ234" s="609" t="str">
        <f t="shared" si="49"/>
        <v/>
      </c>
      <c r="AR234" s="609" t="str">
        <f t="shared" si="49"/>
        <v/>
      </c>
      <c r="AS234" s="609" t="str">
        <f t="shared" si="49"/>
        <v/>
      </c>
      <c r="AT234" s="609" t="str">
        <f t="shared" si="49"/>
        <v/>
      </c>
      <c r="AU234" s="609" t="str">
        <f t="shared" si="49"/>
        <v/>
      </c>
      <c r="AV234" s="609" t="str">
        <f t="shared" si="49"/>
        <v/>
      </c>
      <c r="AW234" s="609" t="str">
        <f t="shared" si="49"/>
        <v/>
      </c>
      <c r="AX234" s="609" t="str">
        <f t="shared" si="49"/>
        <v/>
      </c>
      <c r="AY234" s="609" t="str">
        <f t="shared" si="49"/>
        <v/>
      </c>
      <c r="AZ234" s="609" t="str">
        <f t="shared" si="49"/>
        <v/>
      </c>
      <c r="BA234" s="609" t="str">
        <f t="shared" si="49"/>
        <v/>
      </c>
      <c r="BB234" s="609" t="str">
        <f t="shared" si="49"/>
        <v/>
      </c>
      <c r="BC234" s="609" t="str">
        <f t="shared" si="49"/>
        <v/>
      </c>
      <c r="BD234" s="609" t="str">
        <f t="shared" si="49"/>
        <v/>
      </c>
      <c r="BE234" s="609" t="str">
        <f t="shared" si="49"/>
        <v/>
      </c>
      <c r="BF234" s="609" t="str">
        <f t="shared" si="49"/>
        <v/>
      </c>
      <c r="BG234" s="609" t="str">
        <f t="shared" si="49"/>
        <v/>
      </c>
    </row>
    <row r="235" spans="2:59" x14ac:dyDescent="0.25">
      <c r="B235" s="654">
        <v>229</v>
      </c>
      <c r="C235" s="654"/>
      <c r="D235" s="654"/>
      <c r="E235" s="655"/>
      <c r="F235" s="654"/>
      <c r="H235" s="609" t="str">
        <f t="shared" si="42"/>
        <v/>
      </c>
      <c r="I235" s="609" t="str">
        <f t="shared" si="49"/>
        <v/>
      </c>
      <c r="J235" s="609" t="str">
        <f t="shared" si="49"/>
        <v/>
      </c>
      <c r="K235" s="609" t="str">
        <f t="shared" si="49"/>
        <v/>
      </c>
      <c r="L235" s="609" t="str">
        <f t="shared" si="49"/>
        <v/>
      </c>
      <c r="M235" s="609" t="str">
        <f t="shared" si="49"/>
        <v/>
      </c>
      <c r="N235" s="609" t="str">
        <f t="shared" si="49"/>
        <v/>
      </c>
      <c r="O235" s="609" t="str">
        <f t="shared" si="49"/>
        <v/>
      </c>
      <c r="P235" s="609" t="str">
        <f t="shared" si="49"/>
        <v/>
      </c>
      <c r="Q235" s="609" t="str">
        <f t="shared" si="49"/>
        <v/>
      </c>
      <c r="R235" s="609" t="str">
        <f t="shared" si="49"/>
        <v/>
      </c>
      <c r="S235" s="609" t="str">
        <f t="shared" si="49"/>
        <v/>
      </c>
      <c r="T235" s="609" t="str">
        <f t="shared" si="49"/>
        <v/>
      </c>
      <c r="U235" s="609" t="str">
        <f t="shared" si="49"/>
        <v/>
      </c>
      <c r="V235" s="609" t="str">
        <f t="shared" si="49"/>
        <v/>
      </c>
      <c r="W235" s="609" t="str">
        <f t="shared" si="49"/>
        <v/>
      </c>
      <c r="X235" s="609" t="str">
        <f t="shared" si="49"/>
        <v/>
      </c>
      <c r="Y235" s="609" t="str">
        <f t="shared" si="49"/>
        <v/>
      </c>
      <c r="Z235" s="609" t="str">
        <f t="shared" si="49"/>
        <v/>
      </c>
      <c r="AA235" s="609" t="str">
        <f t="shared" si="49"/>
        <v/>
      </c>
      <c r="AB235" s="609" t="str">
        <f t="shared" si="49"/>
        <v/>
      </c>
      <c r="AC235" s="609" t="str">
        <f t="shared" si="49"/>
        <v/>
      </c>
      <c r="AD235" s="609" t="str">
        <f t="shared" si="49"/>
        <v/>
      </c>
      <c r="AE235" s="609" t="str">
        <f t="shared" si="49"/>
        <v/>
      </c>
      <c r="AF235" s="609" t="str">
        <f t="shared" si="49"/>
        <v/>
      </c>
      <c r="AG235" s="609" t="str">
        <f t="shared" si="49"/>
        <v/>
      </c>
      <c r="AH235" s="609" t="str">
        <f t="shared" si="49"/>
        <v/>
      </c>
      <c r="AI235" s="609" t="str">
        <f t="shared" si="49"/>
        <v/>
      </c>
      <c r="AJ235" s="609" t="str">
        <f t="shared" si="49"/>
        <v/>
      </c>
      <c r="AK235" s="609" t="str">
        <f t="shared" si="49"/>
        <v/>
      </c>
      <c r="AL235" s="609" t="str">
        <f t="shared" si="49"/>
        <v/>
      </c>
      <c r="AM235" s="609" t="str">
        <f t="shared" si="49"/>
        <v/>
      </c>
      <c r="AN235" s="609" t="str">
        <f t="shared" si="49"/>
        <v/>
      </c>
      <c r="AO235" s="609" t="str">
        <f t="shared" si="49"/>
        <v/>
      </c>
      <c r="AP235" s="609" t="str">
        <f t="shared" si="49"/>
        <v/>
      </c>
      <c r="AQ235" s="609" t="str">
        <f t="shared" si="49"/>
        <v/>
      </c>
      <c r="AR235" s="609" t="str">
        <f t="shared" si="49"/>
        <v/>
      </c>
      <c r="AS235" s="609" t="str">
        <f t="shared" si="49"/>
        <v/>
      </c>
      <c r="AT235" s="609" t="str">
        <f t="shared" si="49"/>
        <v/>
      </c>
      <c r="AU235" s="609" t="str">
        <f t="shared" si="49"/>
        <v/>
      </c>
      <c r="AV235" s="609" t="str">
        <f t="shared" si="49"/>
        <v/>
      </c>
      <c r="AW235" s="609" t="str">
        <f t="shared" si="49"/>
        <v/>
      </c>
      <c r="AX235" s="609" t="str">
        <f t="shared" si="49"/>
        <v/>
      </c>
      <c r="AY235" s="609" t="str">
        <f t="shared" si="49"/>
        <v/>
      </c>
      <c r="AZ235" s="609" t="str">
        <f t="shared" si="49"/>
        <v/>
      </c>
      <c r="BA235" s="609" t="str">
        <f t="shared" si="49"/>
        <v/>
      </c>
      <c r="BB235" s="609" t="str">
        <f t="shared" si="49"/>
        <v/>
      </c>
      <c r="BC235" s="609" t="str">
        <f t="shared" si="49"/>
        <v/>
      </c>
      <c r="BD235" s="609" t="str">
        <f t="shared" si="49"/>
        <v/>
      </c>
      <c r="BE235" s="609" t="str">
        <f t="shared" si="49"/>
        <v/>
      </c>
      <c r="BF235" s="609" t="str">
        <f t="shared" si="49"/>
        <v/>
      </c>
      <c r="BG235" s="609" t="str">
        <f t="shared" si="49"/>
        <v/>
      </c>
    </row>
    <row r="236" spans="2:59" x14ac:dyDescent="0.25">
      <c r="B236" s="654">
        <v>230</v>
      </c>
      <c r="C236" s="654"/>
      <c r="D236" s="654"/>
      <c r="E236" s="655"/>
      <c r="F236" s="654"/>
      <c r="H236" s="609" t="str">
        <f t="shared" si="42"/>
        <v/>
      </c>
      <c r="I236" s="609" t="str">
        <f t="shared" si="49"/>
        <v/>
      </c>
      <c r="J236" s="609" t="str">
        <f t="shared" si="49"/>
        <v/>
      </c>
      <c r="K236" s="609" t="str">
        <f t="shared" si="49"/>
        <v/>
      </c>
      <c r="L236" s="609" t="str">
        <f t="shared" si="49"/>
        <v/>
      </c>
      <c r="M236" s="609" t="str">
        <f t="shared" si="49"/>
        <v/>
      </c>
      <c r="N236" s="609" t="str">
        <f t="shared" si="49"/>
        <v/>
      </c>
      <c r="O236" s="609" t="str">
        <f t="shared" si="49"/>
        <v/>
      </c>
      <c r="P236" s="609" t="str">
        <f t="shared" si="49"/>
        <v/>
      </c>
      <c r="Q236" s="609" t="str">
        <f t="shared" si="49"/>
        <v/>
      </c>
      <c r="R236" s="609" t="str">
        <f t="shared" si="49"/>
        <v/>
      </c>
      <c r="S236" s="609" t="str">
        <f t="shared" si="49"/>
        <v/>
      </c>
      <c r="T236" s="609" t="str">
        <f t="shared" si="49"/>
        <v/>
      </c>
      <c r="U236" s="609" t="str">
        <f t="shared" si="49"/>
        <v/>
      </c>
      <c r="V236" s="609" t="str">
        <f t="shared" si="49"/>
        <v/>
      </c>
      <c r="W236" s="609" t="str">
        <f t="shared" si="49"/>
        <v/>
      </c>
      <c r="X236" s="609" t="str">
        <f t="shared" si="49"/>
        <v/>
      </c>
      <c r="Y236" s="609" t="str">
        <f t="shared" si="49"/>
        <v/>
      </c>
      <c r="Z236" s="609" t="str">
        <f t="shared" si="49"/>
        <v/>
      </c>
      <c r="AA236" s="609" t="str">
        <f t="shared" si="49"/>
        <v/>
      </c>
      <c r="AB236" s="609" t="str">
        <f t="shared" si="49"/>
        <v/>
      </c>
      <c r="AC236" s="609" t="str">
        <f t="shared" si="49"/>
        <v/>
      </c>
      <c r="AD236" s="609" t="str">
        <f t="shared" si="49"/>
        <v/>
      </c>
      <c r="AE236" s="609" t="str">
        <f t="shared" si="49"/>
        <v/>
      </c>
      <c r="AF236" s="609" t="str">
        <f t="shared" si="49"/>
        <v/>
      </c>
      <c r="AG236" s="609" t="str">
        <f t="shared" si="49"/>
        <v/>
      </c>
      <c r="AH236" s="609" t="str">
        <f t="shared" si="49"/>
        <v/>
      </c>
      <c r="AI236" s="609" t="str">
        <f t="shared" si="49"/>
        <v/>
      </c>
      <c r="AJ236" s="609" t="str">
        <f t="shared" si="49"/>
        <v/>
      </c>
      <c r="AK236" s="609" t="str">
        <f t="shared" si="49"/>
        <v/>
      </c>
      <c r="AL236" s="609" t="str">
        <f t="shared" si="49"/>
        <v/>
      </c>
      <c r="AM236" s="609" t="str">
        <f t="shared" si="49"/>
        <v/>
      </c>
      <c r="AN236" s="609" t="str">
        <f t="shared" si="49"/>
        <v/>
      </c>
      <c r="AO236" s="609" t="str">
        <f t="shared" si="49"/>
        <v/>
      </c>
      <c r="AP236" s="609" t="str">
        <f t="shared" si="49"/>
        <v/>
      </c>
      <c r="AQ236" s="609" t="str">
        <f t="shared" si="49"/>
        <v/>
      </c>
      <c r="AR236" s="609" t="str">
        <f t="shared" si="49"/>
        <v/>
      </c>
      <c r="AS236" s="609" t="str">
        <f t="shared" si="49"/>
        <v/>
      </c>
      <c r="AT236" s="609" t="str">
        <f t="shared" si="49"/>
        <v/>
      </c>
      <c r="AU236" s="609" t="str">
        <f t="shared" si="49"/>
        <v/>
      </c>
      <c r="AV236" s="609" t="str">
        <f t="shared" si="49"/>
        <v/>
      </c>
      <c r="AW236" s="609" t="str">
        <f t="shared" si="49"/>
        <v/>
      </c>
      <c r="AX236" s="609" t="str">
        <f t="shared" si="49"/>
        <v/>
      </c>
      <c r="AY236" s="609" t="str">
        <f t="shared" si="49"/>
        <v/>
      </c>
      <c r="AZ236" s="609" t="str">
        <f t="shared" si="49"/>
        <v/>
      </c>
      <c r="BA236" s="609" t="str">
        <f t="shared" si="49"/>
        <v/>
      </c>
      <c r="BB236" s="609" t="str">
        <f t="shared" si="49"/>
        <v/>
      </c>
      <c r="BC236" s="609" t="str">
        <f t="shared" si="49"/>
        <v/>
      </c>
      <c r="BD236" s="609" t="str">
        <f t="shared" si="49"/>
        <v/>
      </c>
      <c r="BE236" s="609" t="str">
        <f t="shared" si="49"/>
        <v/>
      </c>
      <c r="BF236" s="609" t="str">
        <f t="shared" si="49"/>
        <v/>
      </c>
      <c r="BG236" s="609" t="str">
        <f t="shared" si="49"/>
        <v/>
      </c>
    </row>
    <row r="237" spans="2:59" x14ac:dyDescent="0.25">
      <c r="B237" s="654">
        <v>231</v>
      </c>
      <c r="C237" s="654"/>
      <c r="D237" s="654"/>
      <c r="E237" s="655"/>
      <c r="F237" s="654"/>
      <c r="H237" s="609" t="str">
        <f t="shared" si="42"/>
        <v/>
      </c>
      <c r="I237" s="609" t="str">
        <f t="shared" si="49"/>
        <v/>
      </c>
      <c r="J237" s="609" t="str">
        <f t="shared" si="49"/>
        <v/>
      </c>
      <c r="K237" s="609" t="str">
        <f t="shared" si="49"/>
        <v/>
      </c>
      <c r="L237" s="609" t="str">
        <f t="shared" si="49"/>
        <v/>
      </c>
      <c r="M237" s="609" t="str">
        <f t="shared" si="49"/>
        <v/>
      </c>
      <c r="N237" s="609" t="str">
        <f t="shared" si="49"/>
        <v/>
      </c>
      <c r="O237" s="609" t="str">
        <f t="shared" si="49"/>
        <v/>
      </c>
      <c r="P237" s="609" t="str">
        <f t="shared" si="49"/>
        <v/>
      </c>
      <c r="Q237" s="609" t="str">
        <f t="shared" si="49"/>
        <v/>
      </c>
      <c r="R237" s="609" t="str">
        <f t="shared" si="49"/>
        <v/>
      </c>
      <c r="S237" s="609" t="str">
        <f t="shared" si="49"/>
        <v/>
      </c>
      <c r="T237" s="609" t="str">
        <f t="shared" si="49"/>
        <v/>
      </c>
      <c r="U237" s="609" t="str">
        <f t="shared" si="49"/>
        <v/>
      </c>
      <c r="V237" s="609" t="str">
        <f t="shared" si="49"/>
        <v/>
      </c>
      <c r="W237" s="609" t="str">
        <f t="shared" si="49"/>
        <v/>
      </c>
      <c r="X237" s="609" t="str">
        <f t="shared" si="49"/>
        <v/>
      </c>
      <c r="Y237" s="609" t="str">
        <f t="shared" si="49"/>
        <v/>
      </c>
      <c r="Z237" s="609" t="str">
        <f t="shared" si="49"/>
        <v/>
      </c>
      <c r="AA237" s="609" t="str">
        <f t="shared" si="49"/>
        <v/>
      </c>
      <c r="AB237" s="609" t="str">
        <f t="shared" si="49"/>
        <v/>
      </c>
      <c r="AC237" s="609" t="str">
        <f t="shared" si="49"/>
        <v/>
      </c>
      <c r="AD237" s="609" t="str">
        <f t="shared" si="49"/>
        <v/>
      </c>
      <c r="AE237" s="609" t="str">
        <f t="shared" si="49"/>
        <v/>
      </c>
      <c r="AF237" s="609" t="str">
        <f t="shared" si="49"/>
        <v/>
      </c>
      <c r="AG237" s="609" t="str">
        <f t="shared" si="49"/>
        <v/>
      </c>
      <c r="AH237" s="609" t="str">
        <f t="shared" si="49"/>
        <v/>
      </c>
      <c r="AI237" s="609" t="str">
        <f t="shared" si="49"/>
        <v/>
      </c>
      <c r="AJ237" s="609" t="str">
        <f t="shared" si="49"/>
        <v/>
      </c>
      <c r="AK237" s="609" t="str">
        <f t="shared" si="49"/>
        <v/>
      </c>
      <c r="AL237" s="609" t="str">
        <f t="shared" si="49"/>
        <v/>
      </c>
      <c r="AM237" s="609" t="str">
        <f t="shared" si="49"/>
        <v/>
      </c>
      <c r="AN237" s="609" t="str">
        <f t="shared" si="49"/>
        <v/>
      </c>
      <c r="AO237" s="609" t="str">
        <f t="shared" si="49"/>
        <v/>
      </c>
      <c r="AP237" s="609" t="str">
        <f t="shared" si="49"/>
        <v/>
      </c>
      <c r="AQ237" s="609" t="str">
        <f t="shared" si="49"/>
        <v/>
      </c>
      <c r="AR237" s="609" t="str">
        <f t="shared" si="49"/>
        <v/>
      </c>
      <c r="AS237" s="609" t="str">
        <f t="shared" si="49"/>
        <v/>
      </c>
      <c r="AT237" s="609" t="str">
        <f t="shared" si="49"/>
        <v/>
      </c>
      <c r="AU237" s="609" t="str">
        <f t="shared" si="49"/>
        <v/>
      </c>
      <c r="AV237" s="609" t="str">
        <f t="shared" si="49"/>
        <v/>
      </c>
      <c r="AW237" s="609" t="str">
        <f t="shared" si="49"/>
        <v/>
      </c>
      <c r="AX237" s="609" t="str">
        <f t="shared" si="49"/>
        <v/>
      </c>
      <c r="AY237" s="609" t="str">
        <f t="shared" si="49"/>
        <v/>
      </c>
      <c r="AZ237" s="609" t="str">
        <f t="shared" si="49"/>
        <v/>
      </c>
      <c r="BA237" s="609" t="str">
        <f t="shared" si="49"/>
        <v/>
      </c>
      <c r="BB237" s="609" t="str">
        <f t="shared" si="49"/>
        <v/>
      </c>
      <c r="BC237" s="609" t="str">
        <f t="shared" si="49"/>
        <v/>
      </c>
      <c r="BD237" s="609" t="str">
        <f t="shared" si="49"/>
        <v/>
      </c>
      <c r="BE237" s="609" t="str">
        <f t="shared" si="49"/>
        <v/>
      </c>
      <c r="BF237" s="609" t="str">
        <f t="shared" si="49"/>
        <v/>
      </c>
      <c r="BG237" s="609" t="str">
        <f t="shared" si="49"/>
        <v/>
      </c>
    </row>
    <row r="238" spans="2:59" x14ac:dyDescent="0.25">
      <c r="B238" s="654">
        <v>232</v>
      </c>
      <c r="C238" s="654"/>
      <c r="D238" s="654"/>
      <c r="E238" s="655"/>
      <c r="F238" s="654"/>
      <c r="H238" s="609" t="str">
        <f t="shared" si="42"/>
        <v/>
      </c>
      <c r="I238" s="609" t="str">
        <f t="shared" si="49"/>
        <v/>
      </c>
      <c r="J238" s="609" t="str">
        <f t="shared" si="49"/>
        <v/>
      </c>
      <c r="K238" s="609" t="str">
        <f t="shared" si="49"/>
        <v/>
      </c>
      <c r="L238" s="609" t="str">
        <f t="shared" si="49"/>
        <v/>
      </c>
      <c r="M238" s="609" t="str">
        <f t="shared" si="49"/>
        <v/>
      </c>
      <c r="N238" s="609" t="str">
        <f t="shared" si="49"/>
        <v/>
      </c>
      <c r="O238" s="609" t="str">
        <f t="shared" si="49"/>
        <v/>
      </c>
      <c r="P238" s="609" t="str">
        <f t="shared" si="49"/>
        <v/>
      </c>
      <c r="Q238" s="609" t="str">
        <f t="shared" si="49"/>
        <v/>
      </c>
      <c r="R238" s="609" t="str">
        <f t="shared" ref="I238:BG243" si="50">IF($D238=R$6,$B238&amp;", ","")</f>
        <v/>
      </c>
      <c r="S238" s="609" t="str">
        <f t="shared" si="50"/>
        <v/>
      </c>
      <c r="T238" s="609" t="str">
        <f t="shared" si="50"/>
        <v/>
      </c>
      <c r="U238" s="609" t="str">
        <f t="shared" si="50"/>
        <v/>
      </c>
      <c r="V238" s="609" t="str">
        <f t="shared" si="50"/>
        <v/>
      </c>
      <c r="W238" s="609" t="str">
        <f t="shared" si="50"/>
        <v/>
      </c>
      <c r="X238" s="609" t="str">
        <f t="shared" si="50"/>
        <v/>
      </c>
      <c r="Y238" s="609" t="str">
        <f t="shared" si="50"/>
        <v/>
      </c>
      <c r="Z238" s="609" t="str">
        <f t="shared" si="50"/>
        <v/>
      </c>
      <c r="AA238" s="609" t="str">
        <f t="shared" si="50"/>
        <v/>
      </c>
      <c r="AB238" s="609" t="str">
        <f t="shared" si="50"/>
        <v/>
      </c>
      <c r="AC238" s="609" t="str">
        <f t="shared" si="50"/>
        <v/>
      </c>
      <c r="AD238" s="609" t="str">
        <f t="shared" si="50"/>
        <v/>
      </c>
      <c r="AE238" s="609" t="str">
        <f t="shared" si="50"/>
        <v/>
      </c>
      <c r="AF238" s="609" t="str">
        <f t="shared" si="50"/>
        <v/>
      </c>
      <c r="AG238" s="609" t="str">
        <f t="shared" si="50"/>
        <v/>
      </c>
      <c r="AH238" s="609" t="str">
        <f t="shared" si="50"/>
        <v/>
      </c>
      <c r="AI238" s="609" t="str">
        <f t="shared" si="50"/>
        <v/>
      </c>
      <c r="AJ238" s="609" t="str">
        <f t="shared" si="50"/>
        <v/>
      </c>
      <c r="AK238" s="609" t="str">
        <f t="shared" si="50"/>
        <v/>
      </c>
      <c r="AL238" s="609" t="str">
        <f t="shared" si="50"/>
        <v/>
      </c>
      <c r="AM238" s="609" t="str">
        <f t="shared" si="50"/>
        <v/>
      </c>
      <c r="AN238" s="609" t="str">
        <f t="shared" si="50"/>
        <v/>
      </c>
      <c r="AO238" s="609" t="str">
        <f t="shared" si="50"/>
        <v/>
      </c>
      <c r="AP238" s="609" t="str">
        <f t="shared" si="50"/>
        <v/>
      </c>
      <c r="AQ238" s="609" t="str">
        <f t="shared" si="50"/>
        <v/>
      </c>
      <c r="AR238" s="609" t="str">
        <f t="shared" si="50"/>
        <v/>
      </c>
      <c r="AS238" s="609" t="str">
        <f t="shared" si="50"/>
        <v/>
      </c>
      <c r="AT238" s="609" t="str">
        <f t="shared" si="50"/>
        <v/>
      </c>
      <c r="AU238" s="609" t="str">
        <f t="shared" si="50"/>
        <v/>
      </c>
      <c r="AV238" s="609" t="str">
        <f t="shared" si="50"/>
        <v/>
      </c>
      <c r="AW238" s="609" t="str">
        <f t="shared" si="50"/>
        <v/>
      </c>
      <c r="AX238" s="609" t="str">
        <f t="shared" si="50"/>
        <v/>
      </c>
      <c r="AY238" s="609" t="str">
        <f t="shared" si="50"/>
        <v/>
      </c>
      <c r="AZ238" s="609" t="str">
        <f t="shared" si="50"/>
        <v/>
      </c>
      <c r="BA238" s="609" t="str">
        <f t="shared" si="50"/>
        <v/>
      </c>
      <c r="BB238" s="609" t="str">
        <f t="shared" si="50"/>
        <v/>
      </c>
      <c r="BC238" s="609" t="str">
        <f t="shared" si="50"/>
        <v/>
      </c>
      <c r="BD238" s="609" t="str">
        <f t="shared" si="50"/>
        <v/>
      </c>
      <c r="BE238" s="609" t="str">
        <f t="shared" si="50"/>
        <v/>
      </c>
      <c r="BF238" s="609" t="str">
        <f t="shared" si="50"/>
        <v/>
      </c>
      <c r="BG238" s="609" t="str">
        <f t="shared" si="50"/>
        <v/>
      </c>
    </row>
    <row r="239" spans="2:59" x14ac:dyDescent="0.25">
      <c r="B239" s="654">
        <v>233</v>
      </c>
      <c r="C239" s="654"/>
      <c r="D239" s="654"/>
      <c r="E239" s="655"/>
      <c r="F239" s="654"/>
      <c r="H239" s="609" t="str">
        <f t="shared" si="42"/>
        <v/>
      </c>
      <c r="I239" s="609" t="str">
        <f t="shared" si="50"/>
        <v/>
      </c>
      <c r="J239" s="609" t="str">
        <f t="shared" si="50"/>
        <v/>
      </c>
      <c r="K239" s="609" t="str">
        <f t="shared" si="50"/>
        <v/>
      </c>
      <c r="L239" s="609" t="str">
        <f t="shared" si="50"/>
        <v/>
      </c>
      <c r="M239" s="609" t="str">
        <f t="shared" si="50"/>
        <v/>
      </c>
      <c r="N239" s="609" t="str">
        <f t="shared" si="50"/>
        <v/>
      </c>
      <c r="O239" s="609" t="str">
        <f t="shared" si="50"/>
        <v/>
      </c>
      <c r="P239" s="609" t="str">
        <f t="shared" si="50"/>
        <v/>
      </c>
      <c r="Q239" s="609" t="str">
        <f t="shared" si="50"/>
        <v/>
      </c>
      <c r="R239" s="609" t="str">
        <f t="shared" si="50"/>
        <v/>
      </c>
      <c r="S239" s="609" t="str">
        <f t="shared" si="50"/>
        <v/>
      </c>
      <c r="T239" s="609" t="str">
        <f t="shared" si="50"/>
        <v/>
      </c>
      <c r="U239" s="609" t="str">
        <f t="shared" si="50"/>
        <v/>
      </c>
      <c r="V239" s="609" t="str">
        <f t="shared" si="50"/>
        <v/>
      </c>
      <c r="W239" s="609" t="str">
        <f t="shared" si="50"/>
        <v/>
      </c>
      <c r="X239" s="609" t="str">
        <f t="shared" si="50"/>
        <v/>
      </c>
      <c r="Y239" s="609" t="str">
        <f t="shared" si="50"/>
        <v/>
      </c>
      <c r="Z239" s="609" t="str">
        <f t="shared" si="50"/>
        <v/>
      </c>
      <c r="AA239" s="609" t="str">
        <f t="shared" si="50"/>
        <v/>
      </c>
      <c r="AB239" s="609" t="str">
        <f t="shared" si="50"/>
        <v/>
      </c>
      <c r="AC239" s="609" t="str">
        <f t="shared" si="50"/>
        <v/>
      </c>
      <c r="AD239" s="609" t="str">
        <f t="shared" si="50"/>
        <v/>
      </c>
      <c r="AE239" s="609" t="str">
        <f t="shared" si="50"/>
        <v/>
      </c>
      <c r="AF239" s="609" t="str">
        <f t="shared" si="50"/>
        <v/>
      </c>
      <c r="AG239" s="609" t="str">
        <f t="shared" si="50"/>
        <v/>
      </c>
      <c r="AH239" s="609" t="str">
        <f t="shared" si="50"/>
        <v/>
      </c>
      <c r="AI239" s="609" t="str">
        <f t="shared" si="50"/>
        <v/>
      </c>
      <c r="AJ239" s="609" t="str">
        <f t="shared" si="50"/>
        <v/>
      </c>
      <c r="AK239" s="609" t="str">
        <f t="shared" si="50"/>
        <v/>
      </c>
      <c r="AL239" s="609" t="str">
        <f t="shared" si="50"/>
        <v/>
      </c>
      <c r="AM239" s="609" t="str">
        <f t="shared" si="50"/>
        <v/>
      </c>
      <c r="AN239" s="609" t="str">
        <f t="shared" si="50"/>
        <v/>
      </c>
      <c r="AO239" s="609" t="str">
        <f t="shared" si="50"/>
        <v/>
      </c>
      <c r="AP239" s="609" t="str">
        <f t="shared" si="50"/>
        <v/>
      </c>
      <c r="AQ239" s="609" t="str">
        <f t="shared" si="50"/>
        <v/>
      </c>
      <c r="AR239" s="609" t="str">
        <f t="shared" si="50"/>
        <v/>
      </c>
      <c r="AS239" s="609" t="str">
        <f t="shared" si="50"/>
        <v/>
      </c>
      <c r="AT239" s="609" t="str">
        <f t="shared" si="50"/>
        <v/>
      </c>
      <c r="AU239" s="609" t="str">
        <f t="shared" si="50"/>
        <v/>
      </c>
      <c r="AV239" s="609" t="str">
        <f t="shared" si="50"/>
        <v/>
      </c>
      <c r="AW239" s="609" t="str">
        <f t="shared" si="50"/>
        <v/>
      </c>
      <c r="AX239" s="609" t="str">
        <f t="shared" si="50"/>
        <v/>
      </c>
      <c r="AY239" s="609" t="str">
        <f t="shared" si="50"/>
        <v/>
      </c>
      <c r="AZ239" s="609" t="str">
        <f t="shared" si="50"/>
        <v/>
      </c>
      <c r="BA239" s="609" t="str">
        <f t="shared" si="50"/>
        <v/>
      </c>
      <c r="BB239" s="609" t="str">
        <f t="shared" si="50"/>
        <v/>
      </c>
      <c r="BC239" s="609" t="str">
        <f t="shared" si="50"/>
        <v/>
      </c>
      <c r="BD239" s="609" t="str">
        <f t="shared" si="50"/>
        <v/>
      </c>
      <c r="BE239" s="609" t="str">
        <f t="shared" si="50"/>
        <v/>
      </c>
      <c r="BF239" s="609" t="str">
        <f t="shared" si="50"/>
        <v/>
      </c>
      <c r="BG239" s="609" t="str">
        <f t="shared" si="50"/>
        <v/>
      </c>
    </row>
    <row r="240" spans="2:59" x14ac:dyDescent="0.25">
      <c r="B240" s="654">
        <v>234</v>
      </c>
      <c r="C240" s="654"/>
      <c r="D240" s="654"/>
      <c r="E240" s="655"/>
      <c r="F240" s="654"/>
      <c r="H240" s="609" t="str">
        <f t="shared" si="42"/>
        <v/>
      </c>
      <c r="I240" s="609" t="str">
        <f t="shared" si="50"/>
        <v/>
      </c>
      <c r="J240" s="609" t="str">
        <f t="shared" si="50"/>
        <v/>
      </c>
      <c r="K240" s="609" t="str">
        <f t="shared" si="50"/>
        <v/>
      </c>
      <c r="L240" s="609" t="str">
        <f t="shared" si="50"/>
        <v/>
      </c>
      <c r="M240" s="609" t="str">
        <f t="shared" si="50"/>
        <v/>
      </c>
      <c r="N240" s="609" t="str">
        <f t="shared" si="50"/>
        <v/>
      </c>
      <c r="O240" s="609" t="str">
        <f t="shared" si="50"/>
        <v/>
      </c>
      <c r="P240" s="609" t="str">
        <f t="shared" si="50"/>
        <v/>
      </c>
      <c r="Q240" s="609" t="str">
        <f t="shared" si="50"/>
        <v/>
      </c>
      <c r="R240" s="609" t="str">
        <f t="shared" si="50"/>
        <v/>
      </c>
      <c r="S240" s="609" t="str">
        <f t="shared" si="50"/>
        <v/>
      </c>
      <c r="T240" s="609" t="str">
        <f t="shared" si="50"/>
        <v/>
      </c>
      <c r="U240" s="609" t="str">
        <f t="shared" si="50"/>
        <v/>
      </c>
      <c r="V240" s="609" t="str">
        <f t="shared" si="50"/>
        <v/>
      </c>
      <c r="W240" s="609" t="str">
        <f t="shared" si="50"/>
        <v/>
      </c>
      <c r="X240" s="609" t="str">
        <f t="shared" si="50"/>
        <v/>
      </c>
      <c r="Y240" s="609" t="str">
        <f t="shared" si="50"/>
        <v/>
      </c>
      <c r="Z240" s="609" t="str">
        <f t="shared" si="50"/>
        <v/>
      </c>
      <c r="AA240" s="609" t="str">
        <f t="shared" si="50"/>
        <v/>
      </c>
      <c r="AB240" s="609" t="str">
        <f t="shared" si="50"/>
        <v/>
      </c>
      <c r="AC240" s="609" t="str">
        <f t="shared" si="50"/>
        <v/>
      </c>
      <c r="AD240" s="609" t="str">
        <f t="shared" si="50"/>
        <v/>
      </c>
      <c r="AE240" s="609" t="str">
        <f t="shared" si="50"/>
        <v/>
      </c>
      <c r="AF240" s="609" t="str">
        <f t="shared" si="50"/>
        <v/>
      </c>
      <c r="AG240" s="609" t="str">
        <f t="shared" si="50"/>
        <v/>
      </c>
      <c r="AH240" s="609" t="str">
        <f t="shared" si="50"/>
        <v/>
      </c>
      <c r="AI240" s="609" t="str">
        <f t="shared" si="50"/>
        <v/>
      </c>
      <c r="AJ240" s="609" t="str">
        <f t="shared" si="50"/>
        <v/>
      </c>
      <c r="AK240" s="609" t="str">
        <f t="shared" si="50"/>
        <v/>
      </c>
      <c r="AL240" s="609" t="str">
        <f t="shared" si="50"/>
        <v/>
      </c>
      <c r="AM240" s="609" t="str">
        <f t="shared" si="50"/>
        <v/>
      </c>
      <c r="AN240" s="609" t="str">
        <f t="shared" si="50"/>
        <v/>
      </c>
      <c r="AO240" s="609" t="str">
        <f t="shared" si="50"/>
        <v/>
      </c>
      <c r="AP240" s="609" t="str">
        <f t="shared" si="50"/>
        <v/>
      </c>
      <c r="AQ240" s="609" t="str">
        <f t="shared" si="50"/>
        <v/>
      </c>
      <c r="AR240" s="609" t="str">
        <f t="shared" si="50"/>
        <v/>
      </c>
      <c r="AS240" s="609" t="str">
        <f t="shared" si="50"/>
        <v/>
      </c>
      <c r="AT240" s="609" t="str">
        <f t="shared" si="50"/>
        <v/>
      </c>
      <c r="AU240" s="609" t="str">
        <f t="shared" si="50"/>
        <v/>
      </c>
      <c r="AV240" s="609" t="str">
        <f t="shared" si="50"/>
        <v/>
      </c>
      <c r="AW240" s="609" t="str">
        <f t="shared" si="50"/>
        <v/>
      </c>
      <c r="AX240" s="609" t="str">
        <f t="shared" si="50"/>
        <v/>
      </c>
      <c r="AY240" s="609" t="str">
        <f t="shared" si="50"/>
        <v/>
      </c>
      <c r="AZ240" s="609" t="str">
        <f t="shared" si="50"/>
        <v/>
      </c>
      <c r="BA240" s="609" t="str">
        <f t="shared" si="50"/>
        <v/>
      </c>
      <c r="BB240" s="609" t="str">
        <f t="shared" si="50"/>
        <v/>
      </c>
      <c r="BC240" s="609" t="str">
        <f t="shared" si="50"/>
        <v/>
      </c>
      <c r="BD240" s="609" t="str">
        <f t="shared" si="50"/>
        <v/>
      </c>
      <c r="BE240" s="609" t="str">
        <f t="shared" si="50"/>
        <v/>
      </c>
      <c r="BF240" s="609" t="str">
        <f t="shared" si="50"/>
        <v/>
      </c>
      <c r="BG240" s="609" t="str">
        <f t="shared" si="50"/>
        <v/>
      </c>
    </row>
    <row r="241" spans="2:59" x14ac:dyDescent="0.25">
      <c r="B241" s="654">
        <v>235</v>
      </c>
      <c r="C241" s="654"/>
      <c r="D241" s="654"/>
      <c r="E241" s="655"/>
      <c r="F241" s="654"/>
      <c r="H241" s="609" t="str">
        <f t="shared" si="42"/>
        <v/>
      </c>
      <c r="I241" s="609" t="str">
        <f t="shared" si="50"/>
        <v/>
      </c>
      <c r="J241" s="609" t="str">
        <f t="shared" si="50"/>
        <v/>
      </c>
      <c r="K241" s="609" t="str">
        <f t="shared" si="50"/>
        <v/>
      </c>
      <c r="L241" s="609" t="str">
        <f t="shared" si="50"/>
        <v/>
      </c>
      <c r="M241" s="609" t="str">
        <f t="shared" si="50"/>
        <v/>
      </c>
      <c r="N241" s="609" t="str">
        <f t="shared" si="50"/>
        <v/>
      </c>
      <c r="O241" s="609" t="str">
        <f t="shared" si="50"/>
        <v/>
      </c>
      <c r="P241" s="609" t="str">
        <f t="shared" si="50"/>
        <v/>
      </c>
      <c r="Q241" s="609" t="str">
        <f t="shared" si="50"/>
        <v/>
      </c>
      <c r="R241" s="609" t="str">
        <f t="shared" si="50"/>
        <v/>
      </c>
      <c r="S241" s="609" t="str">
        <f t="shared" si="50"/>
        <v/>
      </c>
      <c r="T241" s="609" t="str">
        <f t="shared" si="50"/>
        <v/>
      </c>
      <c r="U241" s="609" t="str">
        <f t="shared" si="50"/>
        <v/>
      </c>
      <c r="V241" s="609" t="str">
        <f t="shared" si="50"/>
        <v/>
      </c>
      <c r="W241" s="609" t="str">
        <f t="shared" si="50"/>
        <v/>
      </c>
      <c r="X241" s="609" t="str">
        <f t="shared" si="50"/>
        <v/>
      </c>
      <c r="Y241" s="609" t="str">
        <f t="shared" si="50"/>
        <v/>
      </c>
      <c r="Z241" s="609" t="str">
        <f t="shared" si="50"/>
        <v/>
      </c>
      <c r="AA241" s="609" t="str">
        <f t="shared" si="50"/>
        <v/>
      </c>
      <c r="AB241" s="609" t="str">
        <f t="shared" si="50"/>
        <v/>
      </c>
      <c r="AC241" s="609" t="str">
        <f t="shared" si="50"/>
        <v/>
      </c>
      <c r="AD241" s="609" t="str">
        <f t="shared" si="50"/>
        <v/>
      </c>
      <c r="AE241" s="609" t="str">
        <f t="shared" si="50"/>
        <v/>
      </c>
      <c r="AF241" s="609" t="str">
        <f t="shared" si="50"/>
        <v/>
      </c>
      <c r="AG241" s="609" t="str">
        <f t="shared" si="50"/>
        <v/>
      </c>
      <c r="AH241" s="609" t="str">
        <f t="shared" si="50"/>
        <v/>
      </c>
      <c r="AI241" s="609" t="str">
        <f t="shared" si="50"/>
        <v/>
      </c>
      <c r="AJ241" s="609" t="str">
        <f t="shared" si="50"/>
        <v/>
      </c>
      <c r="AK241" s="609" t="str">
        <f t="shared" si="50"/>
        <v/>
      </c>
      <c r="AL241" s="609" t="str">
        <f t="shared" si="50"/>
        <v/>
      </c>
      <c r="AM241" s="609" t="str">
        <f t="shared" si="50"/>
        <v/>
      </c>
      <c r="AN241" s="609" t="str">
        <f t="shared" si="50"/>
        <v/>
      </c>
      <c r="AO241" s="609" t="str">
        <f t="shared" si="50"/>
        <v/>
      </c>
      <c r="AP241" s="609" t="str">
        <f t="shared" si="50"/>
        <v/>
      </c>
      <c r="AQ241" s="609" t="str">
        <f t="shared" si="50"/>
        <v/>
      </c>
      <c r="AR241" s="609" t="str">
        <f t="shared" si="50"/>
        <v/>
      </c>
      <c r="AS241" s="609" t="str">
        <f t="shared" si="50"/>
        <v/>
      </c>
      <c r="AT241" s="609" t="str">
        <f t="shared" si="50"/>
        <v/>
      </c>
      <c r="AU241" s="609" t="str">
        <f t="shared" si="50"/>
        <v/>
      </c>
      <c r="AV241" s="609" t="str">
        <f t="shared" si="50"/>
        <v/>
      </c>
      <c r="AW241" s="609" t="str">
        <f t="shared" si="50"/>
        <v/>
      </c>
      <c r="AX241" s="609" t="str">
        <f t="shared" si="50"/>
        <v/>
      </c>
      <c r="AY241" s="609" t="str">
        <f t="shared" si="50"/>
        <v/>
      </c>
      <c r="AZ241" s="609" t="str">
        <f t="shared" si="50"/>
        <v/>
      </c>
      <c r="BA241" s="609" t="str">
        <f t="shared" si="50"/>
        <v/>
      </c>
      <c r="BB241" s="609" t="str">
        <f t="shared" si="50"/>
        <v/>
      </c>
      <c r="BC241" s="609" t="str">
        <f t="shared" si="50"/>
        <v/>
      </c>
      <c r="BD241" s="609" t="str">
        <f t="shared" si="50"/>
        <v/>
      </c>
      <c r="BE241" s="609" t="str">
        <f t="shared" si="50"/>
        <v/>
      </c>
      <c r="BF241" s="609" t="str">
        <f t="shared" si="50"/>
        <v/>
      </c>
      <c r="BG241" s="609" t="str">
        <f t="shared" si="50"/>
        <v/>
      </c>
    </row>
    <row r="242" spans="2:59" x14ac:dyDescent="0.25">
      <c r="B242" s="654">
        <v>236</v>
      </c>
      <c r="C242" s="654"/>
      <c r="D242" s="654"/>
      <c r="E242" s="655"/>
      <c r="F242" s="654"/>
      <c r="H242" s="609" t="str">
        <f t="shared" si="42"/>
        <v/>
      </c>
      <c r="I242" s="609" t="str">
        <f t="shared" si="50"/>
        <v/>
      </c>
      <c r="J242" s="609" t="str">
        <f t="shared" si="50"/>
        <v/>
      </c>
      <c r="K242" s="609" t="str">
        <f t="shared" si="50"/>
        <v/>
      </c>
      <c r="L242" s="609" t="str">
        <f t="shared" si="50"/>
        <v/>
      </c>
      <c r="M242" s="609" t="str">
        <f t="shared" si="50"/>
        <v/>
      </c>
      <c r="N242" s="609" t="str">
        <f t="shared" si="50"/>
        <v/>
      </c>
      <c r="O242" s="609" t="str">
        <f t="shared" si="50"/>
        <v/>
      </c>
      <c r="P242" s="609" t="str">
        <f t="shared" si="50"/>
        <v/>
      </c>
      <c r="Q242" s="609" t="str">
        <f t="shared" si="50"/>
        <v/>
      </c>
      <c r="R242" s="609" t="str">
        <f t="shared" si="50"/>
        <v/>
      </c>
      <c r="S242" s="609" t="str">
        <f t="shared" si="50"/>
        <v/>
      </c>
      <c r="T242" s="609" t="str">
        <f t="shared" si="50"/>
        <v/>
      </c>
      <c r="U242" s="609" t="str">
        <f t="shared" si="50"/>
        <v/>
      </c>
      <c r="V242" s="609" t="str">
        <f t="shared" si="50"/>
        <v/>
      </c>
      <c r="W242" s="609" t="str">
        <f t="shared" si="50"/>
        <v/>
      </c>
      <c r="X242" s="609" t="str">
        <f t="shared" si="50"/>
        <v/>
      </c>
      <c r="Y242" s="609" t="str">
        <f t="shared" si="50"/>
        <v/>
      </c>
      <c r="Z242" s="609" t="str">
        <f t="shared" si="50"/>
        <v/>
      </c>
      <c r="AA242" s="609" t="str">
        <f t="shared" si="50"/>
        <v/>
      </c>
      <c r="AB242" s="609" t="str">
        <f t="shared" si="50"/>
        <v/>
      </c>
      <c r="AC242" s="609" t="str">
        <f t="shared" si="50"/>
        <v/>
      </c>
      <c r="AD242" s="609" t="str">
        <f t="shared" si="50"/>
        <v/>
      </c>
      <c r="AE242" s="609" t="str">
        <f t="shared" si="50"/>
        <v/>
      </c>
      <c r="AF242" s="609" t="str">
        <f t="shared" si="50"/>
        <v/>
      </c>
      <c r="AG242" s="609" t="str">
        <f t="shared" si="50"/>
        <v/>
      </c>
      <c r="AH242" s="609" t="str">
        <f t="shared" si="50"/>
        <v/>
      </c>
      <c r="AI242" s="609" t="str">
        <f t="shared" si="50"/>
        <v/>
      </c>
      <c r="AJ242" s="609" t="str">
        <f t="shared" si="50"/>
        <v/>
      </c>
      <c r="AK242" s="609" t="str">
        <f t="shared" si="50"/>
        <v/>
      </c>
      <c r="AL242" s="609" t="str">
        <f t="shared" si="50"/>
        <v/>
      </c>
      <c r="AM242" s="609" t="str">
        <f t="shared" si="50"/>
        <v/>
      </c>
      <c r="AN242" s="609" t="str">
        <f t="shared" si="50"/>
        <v/>
      </c>
      <c r="AO242" s="609" t="str">
        <f t="shared" si="50"/>
        <v/>
      </c>
      <c r="AP242" s="609" t="str">
        <f t="shared" si="50"/>
        <v/>
      </c>
      <c r="AQ242" s="609" t="str">
        <f t="shared" si="50"/>
        <v/>
      </c>
      <c r="AR242" s="609" t="str">
        <f t="shared" si="50"/>
        <v/>
      </c>
      <c r="AS242" s="609" t="str">
        <f t="shared" si="50"/>
        <v/>
      </c>
      <c r="AT242" s="609" t="str">
        <f t="shared" si="50"/>
        <v/>
      </c>
      <c r="AU242" s="609" t="str">
        <f t="shared" si="50"/>
        <v/>
      </c>
      <c r="AV242" s="609" t="str">
        <f t="shared" si="50"/>
        <v/>
      </c>
      <c r="AW242" s="609" t="str">
        <f t="shared" si="50"/>
        <v/>
      </c>
      <c r="AX242" s="609" t="str">
        <f t="shared" si="50"/>
        <v/>
      </c>
      <c r="AY242" s="609" t="str">
        <f t="shared" si="50"/>
        <v/>
      </c>
      <c r="AZ242" s="609" t="str">
        <f t="shared" si="50"/>
        <v/>
      </c>
      <c r="BA242" s="609" t="str">
        <f t="shared" si="50"/>
        <v/>
      </c>
      <c r="BB242" s="609" t="str">
        <f t="shared" si="50"/>
        <v/>
      </c>
      <c r="BC242" s="609" t="str">
        <f t="shared" si="50"/>
        <v/>
      </c>
      <c r="BD242" s="609" t="str">
        <f t="shared" si="50"/>
        <v/>
      </c>
      <c r="BE242" s="609" t="str">
        <f t="shared" si="50"/>
        <v/>
      </c>
      <c r="BF242" s="609" t="str">
        <f t="shared" si="50"/>
        <v/>
      </c>
      <c r="BG242" s="609" t="str">
        <f t="shared" si="50"/>
        <v/>
      </c>
    </row>
    <row r="243" spans="2:59" x14ac:dyDescent="0.25">
      <c r="B243" s="654">
        <v>237</v>
      </c>
      <c r="C243" s="654"/>
      <c r="D243" s="654"/>
      <c r="E243" s="655"/>
      <c r="F243" s="654"/>
      <c r="H243" s="609" t="str">
        <f t="shared" si="42"/>
        <v/>
      </c>
      <c r="I243" s="609" t="str">
        <f t="shared" si="50"/>
        <v/>
      </c>
      <c r="J243" s="609" t="str">
        <f t="shared" si="50"/>
        <v/>
      </c>
      <c r="K243" s="609" t="str">
        <f t="shared" si="50"/>
        <v/>
      </c>
      <c r="L243" s="609" t="str">
        <f t="shared" si="50"/>
        <v/>
      </c>
      <c r="M243" s="609" t="str">
        <f t="shared" si="50"/>
        <v/>
      </c>
      <c r="N243" s="609" t="str">
        <f t="shared" si="50"/>
        <v/>
      </c>
      <c r="O243" s="609" t="str">
        <f t="shared" si="50"/>
        <v/>
      </c>
      <c r="P243" s="609" t="str">
        <f t="shared" si="50"/>
        <v/>
      </c>
      <c r="Q243" s="609" t="str">
        <f t="shared" si="50"/>
        <v/>
      </c>
      <c r="R243" s="609" t="str">
        <f t="shared" ref="I243:BG248" si="51">IF($D243=R$6,$B243&amp;", ","")</f>
        <v/>
      </c>
      <c r="S243" s="609" t="str">
        <f t="shared" si="51"/>
        <v/>
      </c>
      <c r="T243" s="609" t="str">
        <f t="shared" si="51"/>
        <v/>
      </c>
      <c r="U243" s="609" t="str">
        <f t="shared" si="51"/>
        <v/>
      </c>
      <c r="V243" s="609" t="str">
        <f t="shared" si="51"/>
        <v/>
      </c>
      <c r="W243" s="609" t="str">
        <f t="shared" si="51"/>
        <v/>
      </c>
      <c r="X243" s="609" t="str">
        <f t="shared" si="51"/>
        <v/>
      </c>
      <c r="Y243" s="609" t="str">
        <f t="shared" si="51"/>
        <v/>
      </c>
      <c r="Z243" s="609" t="str">
        <f t="shared" si="51"/>
        <v/>
      </c>
      <c r="AA243" s="609" t="str">
        <f t="shared" si="51"/>
        <v/>
      </c>
      <c r="AB243" s="609" t="str">
        <f t="shared" si="51"/>
        <v/>
      </c>
      <c r="AC243" s="609" t="str">
        <f t="shared" si="51"/>
        <v/>
      </c>
      <c r="AD243" s="609" t="str">
        <f t="shared" si="51"/>
        <v/>
      </c>
      <c r="AE243" s="609" t="str">
        <f t="shared" si="51"/>
        <v/>
      </c>
      <c r="AF243" s="609" t="str">
        <f t="shared" si="51"/>
        <v/>
      </c>
      <c r="AG243" s="609" t="str">
        <f t="shared" si="51"/>
        <v/>
      </c>
      <c r="AH243" s="609" t="str">
        <f t="shared" si="51"/>
        <v/>
      </c>
      <c r="AI243" s="609" t="str">
        <f t="shared" si="51"/>
        <v/>
      </c>
      <c r="AJ243" s="609" t="str">
        <f t="shared" si="51"/>
        <v/>
      </c>
      <c r="AK243" s="609" t="str">
        <f t="shared" si="51"/>
        <v/>
      </c>
      <c r="AL243" s="609" t="str">
        <f t="shared" si="51"/>
        <v/>
      </c>
      <c r="AM243" s="609" t="str">
        <f t="shared" si="51"/>
        <v/>
      </c>
      <c r="AN243" s="609" t="str">
        <f t="shared" si="51"/>
        <v/>
      </c>
      <c r="AO243" s="609" t="str">
        <f t="shared" si="51"/>
        <v/>
      </c>
      <c r="AP243" s="609" t="str">
        <f t="shared" si="51"/>
        <v/>
      </c>
      <c r="AQ243" s="609" t="str">
        <f t="shared" si="51"/>
        <v/>
      </c>
      <c r="AR243" s="609" t="str">
        <f t="shared" si="51"/>
        <v/>
      </c>
      <c r="AS243" s="609" t="str">
        <f t="shared" si="51"/>
        <v/>
      </c>
      <c r="AT243" s="609" t="str">
        <f t="shared" si="51"/>
        <v/>
      </c>
      <c r="AU243" s="609" t="str">
        <f t="shared" si="51"/>
        <v/>
      </c>
      <c r="AV243" s="609" t="str">
        <f t="shared" si="51"/>
        <v/>
      </c>
      <c r="AW243" s="609" t="str">
        <f t="shared" si="51"/>
        <v/>
      </c>
      <c r="AX243" s="609" t="str">
        <f t="shared" si="51"/>
        <v/>
      </c>
      <c r="AY243" s="609" t="str">
        <f t="shared" si="51"/>
        <v/>
      </c>
      <c r="AZ243" s="609" t="str">
        <f t="shared" si="51"/>
        <v/>
      </c>
      <c r="BA243" s="609" t="str">
        <f t="shared" si="51"/>
        <v/>
      </c>
      <c r="BB243" s="609" t="str">
        <f t="shared" si="51"/>
        <v/>
      </c>
      <c r="BC243" s="609" t="str">
        <f t="shared" si="51"/>
        <v/>
      </c>
      <c r="BD243" s="609" t="str">
        <f t="shared" si="51"/>
        <v/>
      </c>
      <c r="BE243" s="609" t="str">
        <f t="shared" si="51"/>
        <v/>
      </c>
      <c r="BF243" s="609" t="str">
        <f t="shared" si="51"/>
        <v/>
      </c>
      <c r="BG243" s="609" t="str">
        <f t="shared" si="51"/>
        <v/>
      </c>
    </row>
    <row r="244" spans="2:59" x14ac:dyDescent="0.25">
      <c r="B244" s="654">
        <v>238</v>
      </c>
      <c r="C244" s="654"/>
      <c r="D244" s="654"/>
      <c r="E244" s="655"/>
      <c r="F244" s="654"/>
      <c r="H244" s="609" t="str">
        <f t="shared" si="42"/>
        <v/>
      </c>
      <c r="I244" s="609" t="str">
        <f t="shared" si="51"/>
        <v/>
      </c>
      <c r="J244" s="609" t="str">
        <f t="shared" si="51"/>
        <v/>
      </c>
      <c r="K244" s="609" t="str">
        <f t="shared" si="51"/>
        <v/>
      </c>
      <c r="L244" s="609" t="str">
        <f t="shared" si="51"/>
        <v/>
      </c>
      <c r="M244" s="609" t="str">
        <f t="shared" si="51"/>
        <v/>
      </c>
      <c r="N244" s="609" t="str">
        <f t="shared" si="51"/>
        <v/>
      </c>
      <c r="O244" s="609" t="str">
        <f t="shared" si="51"/>
        <v/>
      </c>
      <c r="P244" s="609" t="str">
        <f t="shared" si="51"/>
        <v/>
      </c>
      <c r="Q244" s="609" t="str">
        <f t="shared" si="51"/>
        <v/>
      </c>
      <c r="R244" s="609" t="str">
        <f t="shared" si="51"/>
        <v/>
      </c>
      <c r="S244" s="609" t="str">
        <f t="shared" si="51"/>
        <v/>
      </c>
      <c r="T244" s="609" t="str">
        <f t="shared" si="51"/>
        <v/>
      </c>
      <c r="U244" s="609" t="str">
        <f t="shared" si="51"/>
        <v/>
      </c>
      <c r="V244" s="609" t="str">
        <f t="shared" si="51"/>
        <v/>
      </c>
      <c r="W244" s="609" t="str">
        <f t="shared" si="51"/>
        <v/>
      </c>
      <c r="X244" s="609" t="str">
        <f t="shared" si="51"/>
        <v/>
      </c>
      <c r="Y244" s="609" t="str">
        <f t="shared" si="51"/>
        <v/>
      </c>
      <c r="Z244" s="609" t="str">
        <f t="shared" si="51"/>
        <v/>
      </c>
      <c r="AA244" s="609" t="str">
        <f t="shared" si="51"/>
        <v/>
      </c>
      <c r="AB244" s="609" t="str">
        <f t="shared" si="51"/>
        <v/>
      </c>
      <c r="AC244" s="609" t="str">
        <f t="shared" si="51"/>
        <v/>
      </c>
      <c r="AD244" s="609" t="str">
        <f t="shared" si="51"/>
        <v/>
      </c>
      <c r="AE244" s="609" t="str">
        <f t="shared" si="51"/>
        <v/>
      </c>
      <c r="AF244" s="609" t="str">
        <f t="shared" si="51"/>
        <v/>
      </c>
      <c r="AG244" s="609" t="str">
        <f t="shared" si="51"/>
        <v/>
      </c>
      <c r="AH244" s="609" t="str">
        <f t="shared" si="51"/>
        <v/>
      </c>
      <c r="AI244" s="609" t="str">
        <f t="shared" si="51"/>
        <v/>
      </c>
      <c r="AJ244" s="609" t="str">
        <f t="shared" si="51"/>
        <v/>
      </c>
      <c r="AK244" s="609" t="str">
        <f t="shared" si="51"/>
        <v/>
      </c>
      <c r="AL244" s="609" t="str">
        <f t="shared" si="51"/>
        <v/>
      </c>
      <c r="AM244" s="609" t="str">
        <f t="shared" si="51"/>
        <v/>
      </c>
      <c r="AN244" s="609" t="str">
        <f t="shared" si="51"/>
        <v/>
      </c>
      <c r="AO244" s="609" t="str">
        <f t="shared" si="51"/>
        <v/>
      </c>
      <c r="AP244" s="609" t="str">
        <f t="shared" si="51"/>
        <v/>
      </c>
      <c r="AQ244" s="609" t="str">
        <f t="shared" si="51"/>
        <v/>
      </c>
      <c r="AR244" s="609" t="str">
        <f t="shared" si="51"/>
        <v/>
      </c>
      <c r="AS244" s="609" t="str">
        <f t="shared" si="51"/>
        <v/>
      </c>
      <c r="AT244" s="609" t="str">
        <f t="shared" si="51"/>
        <v/>
      </c>
      <c r="AU244" s="609" t="str">
        <f t="shared" si="51"/>
        <v/>
      </c>
      <c r="AV244" s="609" t="str">
        <f t="shared" si="51"/>
        <v/>
      </c>
      <c r="AW244" s="609" t="str">
        <f t="shared" si="51"/>
        <v/>
      </c>
      <c r="AX244" s="609" t="str">
        <f t="shared" si="51"/>
        <v/>
      </c>
      <c r="AY244" s="609" t="str">
        <f t="shared" si="51"/>
        <v/>
      </c>
      <c r="AZ244" s="609" t="str">
        <f t="shared" si="51"/>
        <v/>
      </c>
      <c r="BA244" s="609" t="str">
        <f t="shared" si="51"/>
        <v/>
      </c>
      <c r="BB244" s="609" t="str">
        <f t="shared" si="51"/>
        <v/>
      </c>
      <c r="BC244" s="609" t="str">
        <f t="shared" si="51"/>
        <v/>
      </c>
      <c r="BD244" s="609" t="str">
        <f t="shared" si="51"/>
        <v/>
      </c>
      <c r="BE244" s="609" t="str">
        <f t="shared" si="51"/>
        <v/>
      </c>
      <c r="BF244" s="609" t="str">
        <f t="shared" si="51"/>
        <v/>
      </c>
      <c r="BG244" s="609" t="str">
        <f t="shared" si="51"/>
        <v/>
      </c>
    </row>
    <row r="245" spans="2:59" x14ac:dyDescent="0.25">
      <c r="B245" s="654">
        <v>239</v>
      </c>
      <c r="C245" s="654"/>
      <c r="D245" s="654"/>
      <c r="E245" s="655"/>
      <c r="F245" s="654"/>
      <c r="H245" s="609" t="str">
        <f t="shared" si="42"/>
        <v/>
      </c>
      <c r="I245" s="609" t="str">
        <f t="shared" si="51"/>
        <v/>
      </c>
      <c r="J245" s="609" t="str">
        <f t="shared" si="51"/>
        <v/>
      </c>
      <c r="K245" s="609" t="str">
        <f t="shared" si="51"/>
        <v/>
      </c>
      <c r="L245" s="609" t="str">
        <f t="shared" si="51"/>
        <v/>
      </c>
      <c r="M245" s="609" t="str">
        <f t="shared" si="51"/>
        <v/>
      </c>
      <c r="N245" s="609" t="str">
        <f t="shared" si="51"/>
        <v/>
      </c>
      <c r="O245" s="609" t="str">
        <f t="shared" si="51"/>
        <v/>
      </c>
      <c r="P245" s="609" t="str">
        <f t="shared" si="51"/>
        <v/>
      </c>
      <c r="Q245" s="609" t="str">
        <f t="shared" si="51"/>
        <v/>
      </c>
      <c r="R245" s="609" t="str">
        <f t="shared" si="51"/>
        <v/>
      </c>
      <c r="S245" s="609" t="str">
        <f t="shared" si="51"/>
        <v/>
      </c>
      <c r="T245" s="609" t="str">
        <f t="shared" si="51"/>
        <v/>
      </c>
      <c r="U245" s="609" t="str">
        <f t="shared" si="51"/>
        <v/>
      </c>
      <c r="V245" s="609" t="str">
        <f t="shared" si="51"/>
        <v/>
      </c>
      <c r="W245" s="609" t="str">
        <f t="shared" si="51"/>
        <v/>
      </c>
      <c r="X245" s="609" t="str">
        <f t="shared" si="51"/>
        <v/>
      </c>
      <c r="Y245" s="609" t="str">
        <f t="shared" si="51"/>
        <v/>
      </c>
      <c r="Z245" s="609" t="str">
        <f t="shared" si="51"/>
        <v/>
      </c>
      <c r="AA245" s="609" t="str">
        <f t="shared" si="51"/>
        <v/>
      </c>
      <c r="AB245" s="609" t="str">
        <f t="shared" si="51"/>
        <v/>
      </c>
      <c r="AC245" s="609" t="str">
        <f t="shared" si="51"/>
        <v/>
      </c>
      <c r="AD245" s="609" t="str">
        <f t="shared" si="51"/>
        <v/>
      </c>
      <c r="AE245" s="609" t="str">
        <f t="shared" si="51"/>
        <v/>
      </c>
      <c r="AF245" s="609" t="str">
        <f t="shared" si="51"/>
        <v/>
      </c>
      <c r="AG245" s="609" t="str">
        <f t="shared" si="51"/>
        <v/>
      </c>
      <c r="AH245" s="609" t="str">
        <f t="shared" si="51"/>
        <v/>
      </c>
      <c r="AI245" s="609" t="str">
        <f t="shared" si="51"/>
        <v/>
      </c>
      <c r="AJ245" s="609" t="str">
        <f t="shared" si="51"/>
        <v/>
      </c>
      <c r="AK245" s="609" t="str">
        <f t="shared" si="51"/>
        <v/>
      </c>
      <c r="AL245" s="609" t="str">
        <f t="shared" si="51"/>
        <v/>
      </c>
      <c r="AM245" s="609" t="str">
        <f t="shared" si="51"/>
        <v/>
      </c>
      <c r="AN245" s="609" t="str">
        <f t="shared" si="51"/>
        <v/>
      </c>
      <c r="AO245" s="609" t="str">
        <f t="shared" si="51"/>
        <v/>
      </c>
      <c r="AP245" s="609" t="str">
        <f t="shared" si="51"/>
        <v/>
      </c>
      <c r="AQ245" s="609" t="str">
        <f t="shared" si="51"/>
        <v/>
      </c>
      <c r="AR245" s="609" t="str">
        <f t="shared" si="51"/>
        <v/>
      </c>
      <c r="AS245" s="609" t="str">
        <f t="shared" si="51"/>
        <v/>
      </c>
      <c r="AT245" s="609" t="str">
        <f t="shared" si="51"/>
        <v/>
      </c>
      <c r="AU245" s="609" t="str">
        <f t="shared" si="51"/>
        <v/>
      </c>
      <c r="AV245" s="609" t="str">
        <f t="shared" si="51"/>
        <v/>
      </c>
      <c r="AW245" s="609" t="str">
        <f t="shared" si="51"/>
        <v/>
      </c>
      <c r="AX245" s="609" t="str">
        <f t="shared" si="51"/>
        <v/>
      </c>
      <c r="AY245" s="609" t="str">
        <f t="shared" si="51"/>
        <v/>
      </c>
      <c r="AZ245" s="609" t="str">
        <f t="shared" si="51"/>
        <v/>
      </c>
      <c r="BA245" s="609" t="str">
        <f t="shared" si="51"/>
        <v/>
      </c>
      <c r="BB245" s="609" t="str">
        <f t="shared" si="51"/>
        <v/>
      </c>
      <c r="BC245" s="609" t="str">
        <f t="shared" si="51"/>
        <v/>
      </c>
      <c r="BD245" s="609" t="str">
        <f t="shared" si="51"/>
        <v/>
      </c>
      <c r="BE245" s="609" t="str">
        <f t="shared" si="51"/>
        <v/>
      </c>
      <c r="BF245" s="609" t="str">
        <f t="shared" si="51"/>
        <v/>
      </c>
      <c r="BG245" s="609" t="str">
        <f t="shared" si="51"/>
        <v/>
      </c>
    </row>
    <row r="246" spans="2:59" x14ac:dyDescent="0.25">
      <c r="B246" s="654">
        <v>240</v>
      </c>
      <c r="C246" s="654"/>
      <c r="D246" s="654"/>
      <c r="E246" s="655"/>
      <c r="F246" s="654"/>
      <c r="H246" s="609" t="str">
        <f t="shared" si="42"/>
        <v/>
      </c>
      <c r="I246" s="609" t="str">
        <f t="shared" si="51"/>
        <v/>
      </c>
      <c r="J246" s="609" t="str">
        <f t="shared" si="51"/>
        <v/>
      </c>
      <c r="K246" s="609" t="str">
        <f t="shared" si="51"/>
        <v/>
      </c>
      <c r="L246" s="609" t="str">
        <f t="shared" si="51"/>
        <v/>
      </c>
      <c r="M246" s="609" t="str">
        <f t="shared" si="51"/>
        <v/>
      </c>
      <c r="N246" s="609" t="str">
        <f t="shared" si="51"/>
        <v/>
      </c>
      <c r="O246" s="609" t="str">
        <f t="shared" si="51"/>
        <v/>
      </c>
      <c r="P246" s="609" t="str">
        <f t="shared" si="51"/>
        <v/>
      </c>
      <c r="Q246" s="609" t="str">
        <f t="shared" si="51"/>
        <v/>
      </c>
      <c r="R246" s="609" t="str">
        <f t="shared" si="51"/>
        <v/>
      </c>
      <c r="S246" s="609" t="str">
        <f t="shared" si="51"/>
        <v/>
      </c>
      <c r="T246" s="609" t="str">
        <f t="shared" si="51"/>
        <v/>
      </c>
      <c r="U246" s="609" t="str">
        <f t="shared" si="51"/>
        <v/>
      </c>
      <c r="V246" s="609" t="str">
        <f t="shared" si="51"/>
        <v/>
      </c>
      <c r="W246" s="609" t="str">
        <f t="shared" si="51"/>
        <v/>
      </c>
      <c r="X246" s="609" t="str">
        <f t="shared" si="51"/>
        <v/>
      </c>
      <c r="Y246" s="609" t="str">
        <f t="shared" si="51"/>
        <v/>
      </c>
      <c r="Z246" s="609" t="str">
        <f t="shared" si="51"/>
        <v/>
      </c>
      <c r="AA246" s="609" t="str">
        <f t="shared" si="51"/>
        <v/>
      </c>
      <c r="AB246" s="609" t="str">
        <f t="shared" si="51"/>
        <v/>
      </c>
      <c r="AC246" s="609" t="str">
        <f t="shared" si="51"/>
        <v/>
      </c>
      <c r="AD246" s="609" t="str">
        <f t="shared" si="51"/>
        <v/>
      </c>
      <c r="AE246" s="609" t="str">
        <f t="shared" si="51"/>
        <v/>
      </c>
      <c r="AF246" s="609" t="str">
        <f t="shared" si="51"/>
        <v/>
      </c>
      <c r="AG246" s="609" t="str">
        <f t="shared" si="51"/>
        <v/>
      </c>
      <c r="AH246" s="609" t="str">
        <f t="shared" si="51"/>
        <v/>
      </c>
      <c r="AI246" s="609" t="str">
        <f t="shared" si="51"/>
        <v/>
      </c>
      <c r="AJ246" s="609" t="str">
        <f t="shared" si="51"/>
        <v/>
      </c>
      <c r="AK246" s="609" t="str">
        <f t="shared" si="51"/>
        <v/>
      </c>
      <c r="AL246" s="609" t="str">
        <f t="shared" si="51"/>
        <v/>
      </c>
      <c r="AM246" s="609" t="str">
        <f t="shared" si="51"/>
        <v/>
      </c>
      <c r="AN246" s="609" t="str">
        <f t="shared" si="51"/>
        <v/>
      </c>
      <c r="AO246" s="609" t="str">
        <f t="shared" si="51"/>
        <v/>
      </c>
      <c r="AP246" s="609" t="str">
        <f t="shared" si="51"/>
        <v/>
      </c>
      <c r="AQ246" s="609" t="str">
        <f t="shared" si="51"/>
        <v/>
      </c>
      <c r="AR246" s="609" t="str">
        <f t="shared" si="51"/>
        <v/>
      </c>
      <c r="AS246" s="609" t="str">
        <f t="shared" si="51"/>
        <v/>
      </c>
      <c r="AT246" s="609" t="str">
        <f t="shared" si="51"/>
        <v/>
      </c>
      <c r="AU246" s="609" t="str">
        <f t="shared" si="51"/>
        <v/>
      </c>
      <c r="AV246" s="609" t="str">
        <f t="shared" si="51"/>
        <v/>
      </c>
      <c r="AW246" s="609" t="str">
        <f t="shared" si="51"/>
        <v/>
      </c>
      <c r="AX246" s="609" t="str">
        <f t="shared" si="51"/>
        <v/>
      </c>
      <c r="AY246" s="609" t="str">
        <f t="shared" si="51"/>
        <v/>
      </c>
      <c r="AZ246" s="609" t="str">
        <f t="shared" si="51"/>
        <v/>
      </c>
      <c r="BA246" s="609" t="str">
        <f t="shared" si="51"/>
        <v/>
      </c>
      <c r="BB246" s="609" t="str">
        <f t="shared" si="51"/>
        <v/>
      </c>
      <c r="BC246" s="609" t="str">
        <f t="shared" si="51"/>
        <v/>
      </c>
      <c r="BD246" s="609" t="str">
        <f t="shared" si="51"/>
        <v/>
      </c>
      <c r="BE246" s="609" t="str">
        <f t="shared" si="51"/>
        <v/>
      </c>
      <c r="BF246" s="609" t="str">
        <f t="shared" si="51"/>
        <v/>
      </c>
      <c r="BG246" s="609" t="str">
        <f t="shared" si="51"/>
        <v/>
      </c>
    </row>
    <row r="247" spans="2:59" x14ac:dyDescent="0.25">
      <c r="B247" s="654">
        <v>241</v>
      </c>
      <c r="C247" s="654"/>
      <c r="D247" s="654"/>
      <c r="E247" s="655"/>
      <c r="F247" s="654"/>
      <c r="H247" s="609" t="str">
        <f t="shared" si="42"/>
        <v/>
      </c>
      <c r="I247" s="609" t="str">
        <f t="shared" si="51"/>
        <v/>
      </c>
      <c r="J247" s="609" t="str">
        <f t="shared" si="51"/>
        <v/>
      </c>
      <c r="K247" s="609" t="str">
        <f t="shared" si="51"/>
        <v/>
      </c>
      <c r="L247" s="609" t="str">
        <f t="shared" si="51"/>
        <v/>
      </c>
      <c r="M247" s="609" t="str">
        <f t="shared" si="51"/>
        <v/>
      </c>
      <c r="N247" s="609" t="str">
        <f t="shared" si="51"/>
        <v/>
      </c>
      <c r="O247" s="609" t="str">
        <f t="shared" si="51"/>
        <v/>
      </c>
      <c r="P247" s="609" t="str">
        <f t="shared" si="51"/>
        <v/>
      </c>
      <c r="Q247" s="609" t="str">
        <f t="shared" si="51"/>
        <v/>
      </c>
      <c r="R247" s="609" t="str">
        <f t="shared" si="51"/>
        <v/>
      </c>
      <c r="S247" s="609" t="str">
        <f t="shared" si="51"/>
        <v/>
      </c>
      <c r="T247" s="609" t="str">
        <f t="shared" si="51"/>
        <v/>
      </c>
      <c r="U247" s="609" t="str">
        <f t="shared" si="51"/>
        <v/>
      </c>
      <c r="V247" s="609" t="str">
        <f t="shared" si="51"/>
        <v/>
      </c>
      <c r="W247" s="609" t="str">
        <f t="shared" si="51"/>
        <v/>
      </c>
      <c r="X247" s="609" t="str">
        <f t="shared" si="51"/>
        <v/>
      </c>
      <c r="Y247" s="609" t="str">
        <f t="shared" si="51"/>
        <v/>
      </c>
      <c r="Z247" s="609" t="str">
        <f t="shared" si="51"/>
        <v/>
      </c>
      <c r="AA247" s="609" t="str">
        <f t="shared" si="51"/>
        <v/>
      </c>
      <c r="AB247" s="609" t="str">
        <f t="shared" si="51"/>
        <v/>
      </c>
      <c r="AC247" s="609" t="str">
        <f t="shared" si="51"/>
        <v/>
      </c>
      <c r="AD247" s="609" t="str">
        <f t="shared" si="51"/>
        <v/>
      </c>
      <c r="AE247" s="609" t="str">
        <f t="shared" si="51"/>
        <v/>
      </c>
      <c r="AF247" s="609" t="str">
        <f t="shared" si="51"/>
        <v/>
      </c>
      <c r="AG247" s="609" t="str">
        <f t="shared" si="51"/>
        <v/>
      </c>
      <c r="AH247" s="609" t="str">
        <f t="shared" si="51"/>
        <v/>
      </c>
      <c r="AI247" s="609" t="str">
        <f t="shared" si="51"/>
        <v/>
      </c>
      <c r="AJ247" s="609" t="str">
        <f t="shared" si="51"/>
        <v/>
      </c>
      <c r="AK247" s="609" t="str">
        <f t="shared" si="51"/>
        <v/>
      </c>
      <c r="AL247" s="609" t="str">
        <f t="shared" si="51"/>
        <v/>
      </c>
      <c r="AM247" s="609" t="str">
        <f t="shared" si="51"/>
        <v/>
      </c>
      <c r="AN247" s="609" t="str">
        <f t="shared" si="51"/>
        <v/>
      </c>
      <c r="AO247" s="609" t="str">
        <f t="shared" si="51"/>
        <v/>
      </c>
      <c r="AP247" s="609" t="str">
        <f t="shared" si="51"/>
        <v/>
      </c>
      <c r="AQ247" s="609" t="str">
        <f t="shared" si="51"/>
        <v/>
      </c>
      <c r="AR247" s="609" t="str">
        <f t="shared" si="51"/>
        <v/>
      </c>
      <c r="AS247" s="609" t="str">
        <f t="shared" si="51"/>
        <v/>
      </c>
      <c r="AT247" s="609" t="str">
        <f t="shared" si="51"/>
        <v/>
      </c>
      <c r="AU247" s="609" t="str">
        <f t="shared" si="51"/>
        <v/>
      </c>
      <c r="AV247" s="609" t="str">
        <f t="shared" si="51"/>
        <v/>
      </c>
      <c r="AW247" s="609" t="str">
        <f t="shared" si="51"/>
        <v/>
      </c>
      <c r="AX247" s="609" t="str">
        <f t="shared" si="51"/>
        <v/>
      </c>
      <c r="AY247" s="609" t="str">
        <f t="shared" si="51"/>
        <v/>
      </c>
      <c r="AZ247" s="609" t="str">
        <f t="shared" si="51"/>
        <v/>
      </c>
      <c r="BA247" s="609" t="str">
        <f t="shared" si="51"/>
        <v/>
      </c>
      <c r="BB247" s="609" t="str">
        <f t="shared" si="51"/>
        <v/>
      </c>
      <c r="BC247" s="609" t="str">
        <f t="shared" si="51"/>
        <v/>
      </c>
      <c r="BD247" s="609" t="str">
        <f t="shared" si="51"/>
        <v/>
      </c>
      <c r="BE247" s="609" t="str">
        <f t="shared" si="51"/>
        <v/>
      </c>
      <c r="BF247" s="609" t="str">
        <f t="shared" si="51"/>
        <v/>
      </c>
      <c r="BG247" s="609" t="str">
        <f t="shared" si="51"/>
        <v/>
      </c>
    </row>
    <row r="248" spans="2:59" x14ac:dyDescent="0.25">
      <c r="B248" s="654">
        <v>242</v>
      </c>
      <c r="C248" s="654"/>
      <c r="D248" s="654"/>
      <c r="E248" s="655"/>
      <c r="F248" s="654"/>
      <c r="H248" s="609" t="str">
        <f t="shared" si="42"/>
        <v/>
      </c>
      <c r="I248" s="609" t="str">
        <f t="shared" si="51"/>
        <v/>
      </c>
      <c r="J248" s="609" t="str">
        <f t="shared" si="51"/>
        <v/>
      </c>
      <c r="K248" s="609" t="str">
        <f t="shared" si="51"/>
        <v/>
      </c>
      <c r="L248" s="609" t="str">
        <f t="shared" si="51"/>
        <v/>
      </c>
      <c r="M248" s="609" t="str">
        <f t="shared" si="51"/>
        <v/>
      </c>
      <c r="N248" s="609" t="str">
        <f t="shared" si="51"/>
        <v/>
      </c>
      <c r="O248" s="609" t="str">
        <f t="shared" si="51"/>
        <v/>
      </c>
      <c r="P248" s="609" t="str">
        <f t="shared" si="51"/>
        <v/>
      </c>
      <c r="Q248" s="609" t="str">
        <f t="shared" si="51"/>
        <v/>
      </c>
      <c r="R248" s="609" t="str">
        <f t="shared" ref="I248:BG253" si="52">IF($D248=R$6,$B248&amp;", ","")</f>
        <v/>
      </c>
      <c r="S248" s="609" t="str">
        <f t="shared" si="52"/>
        <v/>
      </c>
      <c r="T248" s="609" t="str">
        <f t="shared" si="52"/>
        <v/>
      </c>
      <c r="U248" s="609" t="str">
        <f t="shared" si="52"/>
        <v/>
      </c>
      <c r="V248" s="609" t="str">
        <f t="shared" si="52"/>
        <v/>
      </c>
      <c r="W248" s="609" t="str">
        <f t="shared" si="52"/>
        <v/>
      </c>
      <c r="X248" s="609" t="str">
        <f t="shared" si="52"/>
        <v/>
      </c>
      <c r="Y248" s="609" t="str">
        <f t="shared" si="52"/>
        <v/>
      </c>
      <c r="Z248" s="609" t="str">
        <f t="shared" si="52"/>
        <v/>
      </c>
      <c r="AA248" s="609" t="str">
        <f t="shared" si="52"/>
        <v/>
      </c>
      <c r="AB248" s="609" t="str">
        <f t="shared" si="52"/>
        <v/>
      </c>
      <c r="AC248" s="609" t="str">
        <f t="shared" si="52"/>
        <v/>
      </c>
      <c r="AD248" s="609" t="str">
        <f t="shared" si="52"/>
        <v/>
      </c>
      <c r="AE248" s="609" t="str">
        <f t="shared" si="52"/>
        <v/>
      </c>
      <c r="AF248" s="609" t="str">
        <f t="shared" si="52"/>
        <v/>
      </c>
      <c r="AG248" s="609" t="str">
        <f t="shared" si="52"/>
        <v/>
      </c>
      <c r="AH248" s="609" t="str">
        <f t="shared" si="52"/>
        <v/>
      </c>
      <c r="AI248" s="609" t="str">
        <f t="shared" si="52"/>
        <v/>
      </c>
      <c r="AJ248" s="609" t="str">
        <f t="shared" si="52"/>
        <v/>
      </c>
      <c r="AK248" s="609" t="str">
        <f t="shared" si="52"/>
        <v/>
      </c>
      <c r="AL248" s="609" t="str">
        <f t="shared" si="52"/>
        <v/>
      </c>
      <c r="AM248" s="609" t="str">
        <f t="shared" si="52"/>
        <v/>
      </c>
      <c r="AN248" s="609" t="str">
        <f t="shared" si="52"/>
        <v/>
      </c>
      <c r="AO248" s="609" t="str">
        <f t="shared" si="52"/>
        <v/>
      </c>
      <c r="AP248" s="609" t="str">
        <f t="shared" si="52"/>
        <v/>
      </c>
      <c r="AQ248" s="609" t="str">
        <f t="shared" si="52"/>
        <v/>
      </c>
      <c r="AR248" s="609" t="str">
        <f t="shared" si="52"/>
        <v/>
      </c>
      <c r="AS248" s="609" t="str">
        <f t="shared" si="52"/>
        <v/>
      </c>
      <c r="AT248" s="609" t="str">
        <f t="shared" si="52"/>
        <v/>
      </c>
      <c r="AU248" s="609" t="str">
        <f t="shared" si="52"/>
        <v/>
      </c>
      <c r="AV248" s="609" t="str">
        <f t="shared" si="52"/>
        <v/>
      </c>
      <c r="AW248" s="609" t="str">
        <f t="shared" si="52"/>
        <v/>
      </c>
      <c r="AX248" s="609" t="str">
        <f t="shared" si="52"/>
        <v/>
      </c>
      <c r="AY248" s="609" t="str">
        <f t="shared" si="52"/>
        <v/>
      </c>
      <c r="AZ248" s="609" t="str">
        <f t="shared" si="52"/>
        <v/>
      </c>
      <c r="BA248" s="609" t="str">
        <f t="shared" si="52"/>
        <v/>
      </c>
      <c r="BB248" s="609" t="str">
        <f t="shared" si="52"/>
        <v/>
      </c>
      <c r="BC248" s="609" t="str">
        <f t="shared" si="52"/>
        <v/>
      </c>
      <c r="BD248" s="609" t="str">
        <f t="shared" si="52"/>
        <v/>
      </c>
      <c r="BE248" s="609" t="str">
        <f t="shared" si="52"/>
        <v/>
      </c>
      <c r="BF248" s="609" t="str">
        <f t="shared" si="52"/>
        <v/>
      </c>
      <c r="BG248" s="609" t="str">
        <f t="shared" si="52"/>
        <v/>
      </c>
    </row>
    <row r="249" spans="2:59" x14ac:dyDescent="0.25">
      <c r="B249" s="654">
        <v>243</v>
      </c>
      <c r="C249" s="654"/>
      <c r="D249" s="654"/>
      <c r="E249" s="655"/>
      <c r="F249" s="654"/>
      <c r="H249" s="609" t="str">
        <f t="shared" si="42"/>
        <v/>
      </c>
      <c r="I249" s="609" t="str">
        <f t="shared" si="52"/>
        <v/>
      </c>
      <c r="J249" s="609" t="str">
        <f t="shared" si="52"/>
        <v/>
      </c>
      <c r="K249" s="609" t="str">
        <f t="shared" si="52"/>
        <v/>
      </c>
      <c r="L249" s="609" t="str">
        <f t="shared" si="52"/>
        <v/>
      </c>
      <c r="M249" s="609" t="str">
        <f t="shared" si="52"/>
        <v/>
      </c>
      <c r="N249" s="609" t="str">
        <f t="shared" si="52"/>
        <v/>
      </c>
      <c r="O249" s="609" t="str">
        <f t="shared" si="52"/>
        <v/>
      </c>
      <c r="P249" s="609" t="str">
        <f t="shared" si="52"/>
        <v/>
      </c>
      <c r="Q249" s="609" t="str">
        <f t="shared" si="52"/>
        <v/>
      </c>
      <c r="R249" s="609" t="str">
        <f t="shared" si="52"/>
        <v/>
      </c>
      <c r="S249" s="609" t="str">
        <f t="shared" si="52"/>
        <v/>
      </c>
      <c r="T249" s="609" t="str">
        <f t="shared" si="52"/>
        <v/>
      </c>
      <c r="U249" s="609" t="str">
        <f t="shared" si="52"/>
        <v/>
      </c>
      <c r="V249" s="609" t="str">
        <f t="shared" si="52"/>
        <v/>
      </c>
      <c r="W249" s="609" t="str">
        <f t="shared" si="52"/>
        <v/>
      </c>
      <c r="X249" s="609" t="str">
        <f t="shared" si="52"/>
        <v/>
      </c>
      <c r="Y249" s="609" t="str">
        <f t="shared" si="52"/>
        <v/>
      </c>
      <c r="Z249" s="609" t="str">
        <f t="shared" si="52"/>
        <v/>
      </c>
      <c r="AA249" s="609" t="str">
        <f t="shared" si="52"/>
        <v/>
      </c>
      <c r="AB249" s="609" t="str">
        <f t="shared" si="52"/>
        <v/>
      </c>
      <c r="AC249" s="609" t="str">
        <f t="shared" si="52"/>
        <v/>
      </c>
      <c r="AD249" s="609" t="str">
        <f t="shared" si="52"/>
        <v/>
      </c>
      <c r="AE249" s="609" t="str">
        <f t="shared" si="52"/>
        <v/>
      </c>
      <c r="AF249" s="609" t="str">
        <f t="shared" si="52"/>
        <v/>
      </c>
      <c r="AG249" s="609" t="str">
        <f t="shared" si="52"/>
        <v/>
      </c>
      <c r="AH249" s="609" t="str">
        <f t="shared" si="52"/>
        <v/>
      </c>
      <c r="AI249" s="609" t="str">
        <f t="shared" si="52"/>
        <v/>
      </c>
      <c r="AJ249" s="609" t="str">
        <f t="shared" si="52"/>
        <v/>
      </c>
      <c r="AK249" s="609" t="str">
        <f t="shared" si="52"/>
        <v/>
      </c>
      <c r="AL249" s="609" t="str">
        <f t="shared" si="52"/>
        <v/>
      </c>
      <c r="AM249" s="609" t="str">
        <f t="shared" si="52"/>
        <v/>
      </c>
      <c r="AN249" s="609" t="str">
        <f t="shared" si="52"/>
        <v/>
      </c>
      <c r="AO249" s="609" t="str">
        <f t="shared" si="52"/>
        <v/>
      </c>
      <c r="AP249" s="609" t="str">
        <f t="shared" si="52"/>
        <v/>
      </c>
      <c r="AQ249" s="609" t="str">
        <f t="shared" si="52"/>
        <v/>
      </c>
      <c r="AR249" s="609" t="str">
        <f t="shared" si="52"/>
        <v/>
      </c>
      <c r="AS249" s="609" t="str">
        <f t="shared" si="52"/>
        <v/>
      </c>
      <c r="AT249" s="609" t="str">
        <f t="shared" si="52"/>
        <v/>
      </c>
      <c r="AU249" s="609" t="str">
        <f t="shared" si="52"/>
        <v/>
      </c>
      <c r="AV249" s="609" t="str">
        <f t="shared" si="52"/>
        <v/>
      </c>
      <c r="AW249" s="609" t="str">
        <f t="shared" si="52"/>
        <v/>
      </c>
      <c r="AX249" s="609" t="str">
        <f t="shared" si="52"/>
        <v/>
      </c>
      <c r="AY249" s="609" t="str">
        <f t="shared" si="52"/>
        <v/>
      </c>
      <c r="AZ249" s="609" t="str">
        <f t="shared" si="52"/>
        <v/>
      </c>
      <c r="BA249" s="609" t="str">
        <f t="shared" si="52"/>
        <v/>
      </c>
      <c r="BB249" s="609" t="str">
        <f t="shared" si="52"/>
        <v/>
      </c>
      <c r="BC249" s="609" t="str">
        <f t="shared" si="52"/>
        <v/>
      </c>
      <c r="BD249" s="609" t="str">
        <f t="shared" si="52"/>
        <v/>
      </c>
      <c r="BE249" s="609" t="str">
        <f t="shared" si="52"/>
        <v/>
      </c>
      <c r="BF249" s="609" t="str">
        <f t="shared" si="52"/>
        <v/>
      </c>
      <c r="BG249" s="609" t="str">
        <f t="shared" si="52"/>
        <v/>
      </c>
    </row>
    <row r="250" spans="2:59" x14ac:dyDescent="0.25">
      <c r="B250" s="654">
        <v>244</v>
      </c>
      <c r="C250" s="654"/>
      <c r="D250" s="654"/>
      <c r="E250" s="655"/>
      <c r="F250" s="654"/>
      <c r="H250" s="609" t="str">
        <f t="shared" si="42"/>
        <v/>
      </c>
      <c r="I250" s="609" t="str">
        <f t="shared" si="52"/>
        <v/>
      </c>
      <c r="J250" s="609" t="str">
        <f t="shared" si="52"/>
        <v/>
      </c>
      <c r="K250" s="609" t="str">
        <f t="shared" si="52"/>
        <v/>
      </c>
      <c r="L250" s="609" t="str">
        <f t="shared" si="52"/>
        <v/>
      </c>
      <c r="M250" s="609" t="str">
        <f t="shared" si="52"/>
        <v/>
      </c>
      <c r="N250" s="609" t="str">
        <f t="shared" si="52"/>
        <v/>
      </c>
      <c r="O250" s="609" t="str">
        <f t="shared" si="52"/>
        <v/>
      </c>
      <c r="P250" s="609" t="str">
        <f t="shared" si="52"/>
        <v/>
      </c>
      <c r="Q250" s="609" t="str">
        <f t="shared" si="52"/>
        <v/>
      </c>
      <c r="R250" s="609" t="str">
        <f t="shared" si="52"/>
        <v/>
      </c>
      <c r="S250" s="609" t="str">
        <f t="shared" si="52"/>
        <v/>
      </c>
      <c r="T250" s="609" t="str">
        <f t="shared" si="52"/>
        <v/>
      </c>
      <c r="U250" s="609" t="str">
        <f t="shared" si="52"/>
        <v/>
      </c>
      <c r="V250" s="609" t="str">
        <f t="shared" si="52"/>
        <v/>
      </c>
      <c r="W250" s="609" t="str">
        <f t="shared" si="52"/>
        <v/>
      </c>
      <c r="X250" s="609" t="str">
        <f t="shared" si="52"/>
        <v/>
      </c>
      <c r="Y250" s="609" t="str">
        <f t="shared" si="52"/>
        <v/>
      </c>
      <c r="Z250" s="609" t="str">
        <f t="shared" si="52"/>
        <v/>
      </c>
      <c r="AA250" s="609" t="str">
        <f t="shared" si="52"/>
        <v/>
      </c>
      <c r="AB250" s="609" t="str">
        <f t="shared" si="52"/>
        <v/>
      </c>
      <c r="AC250" s="609" t="str">
        <f t="shared" si="52"/>
        <v/>
      </c>
      <c r="AD250" s="609" t="str">
        <f t="shared" si="52"/>
        <v/>
      </c>
      <c r="AE250" s="609" t="str">
        <f t="shared" si="52"/>
        <v/>
      </c>
      <c r="AF250" s="609" t="str">
        <f t="shared" si="52"/>
        <v/>
      </c>
      <c r="AG250" s="609" t="str">
        <f t="shared" si="52"/>
        <v/>
      </c>
      <c r="AH250" s="609" t="str">
        <f t="shared" si="52"/>
        <v/>
      </c>
      <c r="AI250" s="609" t="str">
        <f t="shared" si="52"/>
        <v/>
      </c>
      <c r="AJ250" s="609" t="str">
        <f t="shared" si="52"/>
        <v/>
      </c>
      <c r="AK250" s="609" t="str">
        <f t="shared" si="52"/>
        <v/>
      </c>
      <c r="AL250" s="609" t="str">
        <f t="shared" si="52"/>
        <v/>
      </c>
      <c r="AM250" s="609" t="str">
        <f t="shared" si="52"/>
        <v/>
      </c>
      <c r="AN250" s="609" t="str">
        <f t="shared" si="52"/>
        <v/>
      </c>
      <c r="AO250" s="609" t="str">
        <f t="shared" si="52"/>
        <v/>
      </c>
      <c r="AP250" s="609" t="str">
        <f t="shared" si="52"/>
        <v/>
      </c>
      <c r="AQ250" s="609" t="str">
        <f t="shared" si="52"/>
        <v/>
      </c>
      <c r="AR250" s="609" t="str">
        <f t="shared" si="52"/>
        <v/>
      </c>
      <c r="AS250" s="609" t="str">
        <f t="shared" si="52"/>
        <v/>
      </c>
      <c r="AT250" s="609" t="str">
        <f t="shared" si="52"/>
        <v/>
      </c>
      <c r="AU250" s="609" t="str">
        <f t="shared" si="52"/>
        <v/>
      </c>
      <c r="AV250" s="609" t="str">
        <f t="shared" si="52"/>
        <v/>
      </c>
      <c r="AW250" s="609" t="str">
        <f t="shared" si="52"/>
        <v/>
      </c>
      <c r="AX250" s="609" t="str">
        <f t="shared" si="52"/>
        <v/>
      </c>
      <c r="AY250" s="609" t="str">
        <f t="shared" si="52"/>
        <v/>
      </c>
      <c r="AZ250" s="609" t="str">
        <f t="shared" si="52"/>
        <v/>
      </c>
      <c r="BA250" s="609" t="str">
        <f t="shared" si="52"/>
        <v/>
      </c>
      <c r="BB250" s="609" t="str">
        <f t="shared" si="52"/>
        <v/>
      </c>
      <c r="BC250" s="609" t="str">
        <f t="shared" si="52"/>
        <v/>
      </c>
      <c r="BD250" s="609" t="str">
        <f t="shared" si="52"/>
        <v/>
      </c>
      <c r="BE250" s="609" t="str">
        <f t="shared" si="52"/>
        <v/>
      </c>
      <c r="BF250" s="609" t="str">
        <f t="shared" si="52"/>
        <v/>
      </c>
      <c r="BG250" s="609" t="str">
        <f t="shared" si="52"/>
        <v/>
      </c>
    </row>
    <row r="251" spans="2:59" x14ac:dyDescent="0.25">
      <c r="B251" s="654">
        <v>245</v>
      </c>
      <c r="C251" s="654"/>
      <c r="D251" s="654"/>
      <c r="E251" s="655"/>
      <c r="F251" s="654"/>
      <c r="H251" s="609" t="str">
        <f t="shared" si="42"/>
        <v/>
      </c>
      <c r="I251" s="609" t="str">
        <f t="shared" si="52"/>
        <v/>
      </c>
      <c r="J251" s="609" t="str">
        <f t="shared" si="52"/>
        <v/>
      </c>
      <c r="K251" s="609" t="str">
        <f t="shared" si="52"/>
        <v/>
      </c>
      <c r="L251" s="609" t="str">
        <f t="shared" si="52"/>
        <v/>
      </c>
      <c r="M251" s="609" t="str">
        <f t="shared" si="52"/>
        <v/>
      </c>
      <c r="N251" s="609" t="str">
        <f t="shared" si="52"/>
        <v/>
      </c>
      <c r="O251" s="609" t="str">
        <f t="shared" si="52"/>
        <v/>
      </c>
      <c r="P251" s="609" t="str">
        <f t="shared" si="52"/>
        <v/>
      </c>
      <c r="Q251" s="609" t="str">
        <f t="shared" si="52"/>
        <v/>
      </c>
      <c r="R251" s="609" t="str">
        <f t="shared" si="52"/>
        <v/>
      </c>
      <c r="S251" s="609" t="str">
        <f t="shared" si="52"/>
        <v/>
      </c>
      <c r="T251" s="609" t="str">
        <f t="shared" si="52"/>
        <v/>
      </c>
      <c r="U251" s="609" t="str">
        <f t="shared" si="52"/>
        <v/>
      </c>
      <c r="V251" s="609" t="str">
        <f t="shared" si="52"/>
        <v/>
      </c>
      <c r="W251" s="609" t="str">
        <f t="shared" si="52"/>
        <v/>
      </c>
      <c r="X251" s="609" t="str">
        <f t="shared" si="52"/>
        <v/>
      </c>
      <c r="Y251" s="609" t="str">
        <f t="shared" si="52"/>
        <v/>
      </c>
      <c r="Z251" s="609" t="str">
        <f t="shared" si="52"/>
        <v/>
      </c>
      <c r="AA251" s="609" t="str">
        <f t="shared" si="52"/>
        <v/>
      </c>
      <c r="AB251" s="609" t="str">
        <f t="shared" si="52"/>
        <v/>
      </c>
      <c r="AC251" s="609" t="str">
        <f t="shared" si="52"/>
        <v/>
      </c>
      <c r="AD251" s="609" t="str">
        <f t="shared" si="52"/>
        <v/>
      </c>
      <c r="AE251" s="609" t="str">
        <f t="shared" si="52"/>
        <v/>
      </c>
      <c r="AF251" s="609" t="str">
        <f t="shared" si="52"/>
        <v/>
      </c>
      <c r="AG251" s="609" t="str">
        <f t="shared" si="52"/>
        <v/>
      </c>
      <c r="AH251" s="609" t="str">
        <f t="shared" si="52"/>
        <v/>
      </c>
      <c r="AI251" s="609" t="str">
        <f t="shared" si="52"/>
        <v/>
      </c>
      <c r="AJ251" s="609" t="str">
        <f t="shared" si="52"/>
        <v/>
      </c>
      <c r="AK251" s="609" t="str">
        <f t="shared" si="52"/>
        <v/>
      </c>
      <c r="AL251" s="609" t="str">
        <f t="shared" si="52"/>
        <v/>
      </c>
      <c r="AM251" s="609" t="str">
        <f t="shared" si="52"/>
        <v/>
      </c>
      <c r="AN251" s="609" t="str">
        <f t="shared" si="52"/>
        <v/>
      </c>
      <c r="AO251" s="609" t="str">
        <f t="shared" si="52"/>
        <v/>
      </c>
      <c r="AP251" s="609" t="str">
        <f t="shared" si="52"/>
        <v/>
      </c>
      <c r="AQ251" s="609" t="str">
        <f t="shared" si="52"/>
        <v/>
      </c>
      <c r="AR251" s="609" t="str">
        <f t="shared" si="52"/>
        <v/>
      </c>
      <c r="AS251" s="609" t="str">
        <f t="shared" si="52"/>
        <v/>
      </c>
      <c r="AT251" s="609" t="str">
        <f t="shared" si="52"/>
        <v/>
      </c>
      <c r="AU251" s="609" t="str">
        <f t="shared" si="52"/>
        <v/>
      </c>
      <c r="AV251" s="609" t="str">
        <f t="shared" si="52"/>
        <v/>
      </c>
      <c r="AW251" s="609" t="str">
        <f t="shared" si="52"/>
        <v/>
      </c>
      <c r="AX251" s="609" t="str">
        <f t="shared" si="52"/>
        <v/>
      </c>
      <c r="AY251" s="609" t="str">
        <f t="shared" si="52"/>
        <v/>
      </c>
      <c r="AZ251" s="609" t="str">
        <f t="shared" si="52"/>
        <v/>
      </c>
      <c r="BA251" s="609" t="str">
        <f t="shared" si="52"/>
        <v/>
      </c>
      <c r="BB251" s="609" t="str">
        <f t="shared" si="52"/>
        <v/>
      </c>
      <c r="BC251" s="609" t="str">
        <f t="shared" si="52"/>
        <v/>
      </c>
      <c r="BD251" s="609" t="str">
        <f t="shared" si="52"/>
        <v/>
      </c>
      <c r="BE251" s="609" t="str">
        <f t="shared" si="52"/>
        <v/>
      </c>
      <c r="BF251" s="609" t="str">
        <f t="shared" si="52"/>
        <v/>
      </c>
      <c r="BG251" s="609" t="str">
        <f t="shared" si="52"/>
        <v/>
      </c>
    </row>
    <row r="252" spans="2:59" x14ac:dyDescent="0.25">
      <c r="B252" s="654">
        <v>246</v>
      </c>
      <c r="C252" s="654"/>
      <c r="D252" s="654"/>
      <c r="E252" s="655"/>
      <c r="F252" s="654"/>
      <c r="H252" s="609" t="str">
        <f t="shared" si="42"/>
        <v/>
      </c>
      <c r="I252" s="609" t="str">
        <f t="shared" si="52"/>
        <v/>
      </c>
      <c r="J252" s="609" t="str">
        <f t="shared" si="52"/>
        <v/>
      </c>
      <c r="K252" s="609" t="str">
        <f t="shared" si="52"/>
        <v/>
      </c>
      <c r="L252" s="609" t="str">
        <f t="shared" si="52"/>
        <v/>
      </c>
      <c r="M252" s="609" t="str">
        <f t="shared" si="52"/>
        <v/>
      </c>
      <c r="N252" s="609" t="str">
        <f t="shared" si="52"/>
        <v/>
      </c>
      <c r="O252" s="609" t="str">
        <f t="shared" si="52"/>
        <v/>
      </c>
      <c r="P252" s="609" t="str">
        <f t="shared" si="52"/>
        <v/>
      </c>
      <c r="Q252" s="609" t="str">
        <f t="shared" si="52"/>
        <v/>
      </c>
      <c r="R252" s="609" t="str">
        <f t="shared" si="52"/>
        <v/>
      </c>
      <c r="S252" s="609" t="str">
        <f t="shared" si="52"/>
        <v/>
      </c>
      <c r="T252" s="609" t="str">
        <f t="shared" si="52"/>
        <v/>
      </c>
      <c r="U252" s="609" t="str">
        <f t="shared" si="52"/>
        <v/>
      </c>
      <c r="V252" s="609" t="str">
        <f t="shared" si="52"/>
        <v/>
      </c>
      <c r="W252" s="609" t="str">
        <f t="shared" si="52"/>
        <v/>
      </c>
      <c r="X252" s="609" t="str">
        <f t="shared" si="52"/>
        <v/>
      </c>
      <c r="Y252" s="609" t="str">
        <f t="shared" si="52"/>
        <v/>
      </c>
      <c r="Z252" s="609" t="str">
        <f t="shared" si="52"/>
        <v/>
      </c>
      <c r="AA252" s="609" t="str">
        <f t="shared" si="52"/>
        <v/>
      </c>
      <c r="AB252" s="609" t="str">
        <f t="shared" si="52"/>
        <v/>
      </c>
      <c r="AC252" s="609" t="str">
        <f t="shared" si="52"/>
        <v/>
      </c>
      <c r="AD252" s="609" t="str">
        <f t="shared" si="52"/>
        <v/>
      </c>
      <c r="AE252" s="609" t="str">
        <f t="shared" si="52"/>
        <v/>
      </c>
      <c r="AF252" s="609" t="str">
        <f t="shared" si="52"/>
        <v/>
      </c>
      <c r="AG252" s="609" t="str">
        <f t="shared" si="52"/>
        <v/>
      </c>
      <c r="AH252" s="609" t="str">
        <f t="shared" si="52"/>
        <v/>
      </c>
      <c r="AI252" s="609" t="str">
        <f t="shared" si="52"/>
        <v/>
      </c>
      <c r="AJ252" s="609" t="str">
        <f t="shared" si="52"/>
        <v/>
      </c>
      <c r="AK252" s="609" t="str">
        <f t="shared" si="52"/>
        <v/>
      </c>
      <c r="AL252" s="609" t="str">
        <f t="shared" si="52"/>
        <v/>
      </c>
      <c r="AM252" s="609" t="str">
        <f t="shared" si="52"/>
        <v/>
      </c>
      <c r="AN252" s="609" t="str">
        <f t="shared" si="52"/>
        <v/>
      </c>
      <c r="AO252" s="609" t="str">
        <f t="shared" si="52"/>
        <v/>
      </c>
      <c r="AP252" s="609" t="str">
        <f t="shared" si="52"/>
        <v/>
      </c>
      <c r="AQ252" s="609" t="str">
        <f t="shared" si="52"/>
        <v/>
      </c>
      <c r="AR252" s="609" t="str">
        <f t="shared" si="52"/>
        <v/>
      </c>
      <c r="AS252" s="609" t="str">
        <f t="shared" si="52"/>
        <v/>
      </c>
      <c r="AT252" s="609" t="str">
        <f t="shared" si="52"/>
        <v/>
      </c>
      <c r="AU252" s="609" t="str">
        <f t="shared" si="52"/>
        <v/>
      </c>
      <c r="AV252" s="609" t="str">
        <f t="shared" si="52"/>
        <v/>
      </c>
      <c r="AW252" s="609" t="str">
        <f t="shared" si="52"/>
        <v/>
      </c>
      <c r="AX252" s="609" t="str">
        <f t="shared" si="52"/>
        <v/>
      </c>
      <c r="AY252" s="609" t="str">
        <f t="shared" si="52"/>
        <v/>
      </c>
      <c r="AZ252" s="609" t="str">
        <f t="shared" si="52"/>
        <v/>
      </c>
      <c r="BA252" s="609" t="str">
        <f t="shared" si="52"/>
        <v/>
      </c>
      <c r="BB252" s="609" t="str">
        <f t="shared" si="52"/>
        <v/>
      </c>
      <c r="BC252" s="609" t="str">
        <f t="shared" si="52"/>
        <v/>
      </c>
      <c r="BD252" s="609" t="str">
        <f t="shared" si="52"/>
        <v/>
      </c>
      <c r="BE252" s="609" t="str">
        <f t="shared" si="52"/>
        <v/>
      </c>
      <c r="BF252" s="609" t="str">
        <f t="shared" si="52"/>
        <v/>
      </c>
      <c r="BG252" s="609" t="str">
        <f t="shared" si="52"/>
        <v/>
      </c>
    </row>
    <row r="253" spans="2:59" x14ac:dyDescent="0.25">
      <c r="B253" s="654">
        <v>247</v>
      </c>
      <c r="C253" s="654"/>
      <c r="D253" s="654"/>
      <c r="E253" s="655"/>
      <c r="F253" s="654"/>
      <c r="H253" s="609" t="str">
        <f t="shared" si="42"/>
        <v/>
      </c>
      <c r="I253" s="609" t="str">
        <f t="shared" si="52"/>
        <v/>
      </c>
      <c r="J253" s="609" t="str">
        <f t="shared" si="52"/>
        <v/>
      </c>
      <c r="K253" s="609" t="str">
        <f t="shared" si="52"/>
        <v/>
      </c>
      <c r="L253" s="609" t="str">
        <f t="shared" si="52"/>
        <v/>
      </c>
      <c r="M253" s="609" t="str">
        <f t="shared" si="52"/>
        <v/>
      </c>
      <c r="N253" s="609" t="str">
        <f t="shared" si="52"/>
        <v/>
      </c>
      <c r="O253" s="609" t="str">
        <f t="shared" si="52"/>
        <v/>
      </c>
      <c r="P253" s="609" t="str">
        <f t="shared" si="52"/>
        <v/>
      </c>
      <c r="Q253" s="609" t="str">
        <f t="shared" si="52"/>
        <v/>
      </c>
      <c r="R253" s="609" t="str">
        <f t="shared" ref="I253:BG258" si="53">IF($D253=R$6,$B253&amp;", ","")</f>
        <v/>
      </c>
      <c r="S253" s="609" t="str">
        <f t="shared" si="53"/>
        <v/>
      </c>
      <c r="T253" s="609" t="str">
        <f t="shared" si="53"/>
        <v/>
      </c>
      <c r="U253" s="609" t="str">
        <f t="shared" si="53"/>
        <v/>
      </c>
      <c r="V253" s="609" t="str">
        <f t="shared" si="53"/>
        <v/>
      </c>
      <c r="W253" s="609" t="str">
        <f t="shared" si="53"/>
        <v/>
      </c>
      <c r="X253" s="609" t="str">
        <f t="shared" si="53"/>
        <v/>
      </c>
      <c r="Y253" s="609" t="str">
        <f t="shared" si="53"/>
        <v/>
      </c>
      <c r="Z253" s="609" t="str">
        <f t="shared" si="53"/>
        <v/>
      </c>
      <c r="AA253" s="609" t="str">
        <f t="shared" si="53"/>
        <v/>
      </c>
      <c r="AB253" s="609" t="str">
        <f t="shared" si="53"/>
        <v/>
      </c>
      <c r="AC253" s="609" t="str">
        <f t="shared" si="53"/>
        <v/>
      </c>
      <c r="AD253" s="609" t="str">
        <f t="shared" si="53"/>
        <v/>
      </c>
      <c r="AE253" s="609" t="str">
        <f t="shared" si="53"/>
        <v/>
      </c>
      <c r="AF253" s="609" t="str">
        <f t="shared" si="53"/>
        <v/>
      </c>
      <c r="AG253" s="609" t="str">
        <f t="shared" si="53"/>
        <v/>
      </c>
      <c r="AH253" s="609" t="str">
        <f t="shared" si="53"/>
        <v/>
      </c>
      <c r="AI253" s="609" t="str">
        <f t="shared" si="53"/>
        <v/>
      </c>
      <c r="AJ253" s="609" t="str">
        <f t="shared" si="53"/>
        <v/>
      </c>
      <c r="AK253" s="609" t="str">
        <f t="shared" si="53"/>
        <v/>
      </c>
      <c r="AL253" s="609" t="str">
        <f t="shared" si="53"/>
        <v/>
      </c>
      <c r="AM253" s="609" t="str">
        <f t="shared" si="53"/>
        <v/>
      </c>
      <c r="AN253" s="609" t="str">
        <f t="shared" si="53"/>
        <v/>
      </c>
      <c r="AO253" s="609" t="str">
        <f t="shared" si="53"/>
        <v/>
      </c>
      <c r="AP253" s="609" t="str">
        <f t="shared" si="53"/>
        <v/>
      </c>
      <c r="AQ253" s="609" t="str">
        <f t="shared" si="53"/>
        <v/>
      </c>
      <c r="AR253" s="609" t="str">
        <f t="shared" si="53"/>
        <v/>
      </c>
      <c r="AS253" s="609" t="str">
        <f t="shared" si="53"/>
        <v/>
      </c>
      <c r="AT253" s="609" t="str">
        <f t="shared" si="53"/>
        <v/>
      </c>
      <c r="AU253" s="609" t="str">
        <f t="shared" si="53"/>
        <v/>
      </c>
      <c r="AV253" s="609" t="str">
        <f t="shared" si="53"/>
        <v/>
      </c>
      <c r="AW253" s="609" t="str">
        <f t="shared" si="53"/>
        <v/>
      </c>
      <c r="AX253" s="609" t="str">
        <f t="shared" si="53"/>
        <v/>
      </c>
      <c r="AY253" s="609" t="str">
        <f t="shared" si="53"/>
        <v/>
      </c>
      <c r="AZ253" s="609" t="str">
        <f t="shared" si="53"/>
        <v/>
      </c>
      <c r="BA253" s="609" t="str">
        <f t="shared" si="53"/>
        <v/>
      </c>
      <c r="BB253" s="609" t="str">
        <f t="shared" si="53"/>
        <v/>
      </c>
      <c r="BC253" s="609" t="str">
        <f t="shared" si="53"/>
        <v/>
      </c>
      <c r="BD253" s="609" t="str">
        <f t="shared" si="53"/>
        <v/>
      </c>
      <c r="BE253" s="609" t="str">
        <f t="shared" si="53"/>
        <v/>
      </c>
      <c r="BF253" s="609" t="str">
        <f t="shared" si="53"/>
        <v/>
      </c>
      <c r="BG253" s="609" t="str">
        <f t="shared" si="53"/>
        <v/>
      </c>
    </row>
    <row r="254" spans="2:59" x14ac:dyDescent="0.25">
      <c r="B254" s="654">
        <v>248</v>
      </c>
      <c r="C254" s="654"/>
      <c r="D254" s="654"/>
      <c r="E254" s="655"/>
      <c r="F254" s="654"/>
      <c r="H254" s="609" t="str">
        <f t="shared" si="42"/>
        <v/>
      </c>
      <c r="I254" s="609" t="str">
        <f t="shared" si="53"/>
        <v/>
      </c>
      <c r="J254" s="609" t="str">
        <f t="shared" si="53"/>
        <v/>
      </c>
      <c r="K254" s="609" t="str">
        <f t="shared" si="53"/>
        <v/>
      </c>
      <c r="L254" s="609" t="str">
        <f t="shared" si="53"/>
        <v/>
      </c>
      <c r="M254" s="609" t="str">
        <f t="shared" si="53"/>
        <v/>
      </c>
      <c r="N254" s="609" t="str">
        <f t="shared" si="53"/>
        <v/>
      </c>
      <c r="O254" s="609" t="str">
        <f t="shared" si="53"/>
        <v/>
      </c>
      <c r="P254" s="609" t="str">
        <f t="shared" si="53"/>
        <v/>
      </c>
      <c r="Q254" s="609" t="str">
        <f t="shared" si="53"/>
        <v/>
      </c>
      <c r="R254" s="609" t="str">
        <f t="shared" si="53"/>
        <v/>
      </c>
      <c r="S254" s="609" t="str">
        <f t="shared" si="53"/>
        <v/>
      </c>
      <c r="T254" s="609" t="str">
        <f t="shared" si="53"/>
        <v/>
      </c>
      <c r="U254" s="609" t="str">
        <f t="shared" si="53"/>
        <v/>
      </c>
      <c r="V254" s="609" t="str">
        <f t="shared" si="53"/>
        <v/>
      </c>
      <c r="W254" s="609" t="str">
        <f t="shared" si="53"/>
        <v/>
      </c>
      <c r="X254" s="609" t="str">
        <f t="shared" si="53"/>
        <v/>
      </c>
      <c r="Y254" s="609" t="str">
        <f t="shared" si="53"/>
        <v/>
      </c>
      <c r="Z254" s="609" t="str">
        <f t="shared" si="53"/>
        <v/>
      </c>
      <c r="AA254" s="609" t="str">
        <f t="shared" si="53"/>
        <v/>
      </c>
      <c r="AB254" s="609" t="str">
        <f t="shared" si="53"/>
        <v/>
      </c>
      <c r="AC254" s="609" t="str">
        <f t="shared" si="53"/>
        <v/>
      </c>
      <c r="AD254" s="609" t="str">
        <f t="shared" si="53"/>
        <v/>
      </c>
      <c r="AE254" s="609" t="str">
        <f t="shared" si="53"/>
        <v/>
      </c>
      <c r="AF254" s="609" t="str">
        <f t="shared" si="53"/>
        <v/>
      </c>
      <c r="AG254" s="609" t="str">
        <f t="shared" si="53"/>
        <v/>
      </c>
      <c r="AH254" s="609" t="str">
        <f t="shared" si="53"/>
        <v/>
      </c>
      <c r="AI254" s="609" t="str">
        <f t="shared" si="53"/>
        <v/>
      </c>
      <c r="AJ254" s="609" t="str">
        <f t="shared" si="53"/>
        <v/>
      </c>
      <c r="AK254" s="609" t="str">
        <f t="shared" si="53"/>
        <v/>
      </c>
      <c r="AL254" s="609" t="str">
        <f t="shared" si="53"/>
        <v/>
      </c>
      <c r="AM254" s="609" t="str">
        <f t="shared" si="53"/>
        <v/>
      </c>
      <c r="AN254" s="609" t="str">
        <f t="shared" si="53"/>
        <v/>
      </c>
      <c r="AO254" s="609" t="str">
        <f t="shared" si="53"/>
        <v/>
      </c>
      <c r="AP254" s="609" t="str">
        <f t="shared" si="53"/>
        <v/>
      </c>
      <c r="AQ254" s="609" t="str">
        <f t="shared" si="53"/>
        <v/>
      </c>
      <c r="AR254" s="609" t="str">
        <f t="shared" si="53"/>
        <v/>
      </c>
      <c r="AS254" s="609" t="str">
        <f t="shared" si="53"/>
        <v/>
      </c>
      <c r="AT254" s="609" t="str">
        <f t="shared" si="53"/>
        <v/>
      </c>
      <c r="AU254" s="609" t="str">
        <f t="shared" si="53"/>
        <v/>
      </c>
      <c r="AV254" s="609" t="str">
        <f t="shared" si="53"/>
        <v/>
      </c>
      <c r="AW254" s="609" t="str">
        <f t="shared" si="53"/>
        <v/>
      </c>
      <c r="AX254" s="609" t="str">
        <f t="shared" si="53"/>
        <v/>
      </c>
      <c r="AY254" s="609" t="str">
        <f t="shared" si="53"/>
        <v/>
      </c>
      <c r="AZ254" s="609" t="str">
        <f t="shared" si="53"/>
        <v/>
      </c>
      <c r="BA254" s="609" t="str">
        <f t="shared" si="53"/>
        <v/>
      </c>
      <c r="BB254" s="609" t="str">
        <f t="shared" si="53"/>
        <v/>
      </c>
      <c r="BC254" s="609" t="str">
        <f t="shared" si="53"/>
        <v/>
      </c>
      <c r="BD254" s="609" t="str">
        <f t="shared" si="53"/>
        <v/>
      </c>
      <c r="BE254" s="609" t="str">
        <f t="shared" si="53"/>
        <v/>
      </c>
      <c r="BF254" s="609" t="str">
        <f t="shared" si="53"/>
        <v/>
      </c>
      <c r="BG254" s="609" t="str">
        <f t="shared" si="53"/>
        <v/>
      </c>
    </row>
    <row r="255" spans="2:59" x14ac:dyDescent="0.25">
      <c r="B255" s="654">
        <v>249</v>
      </c>
      <c r="C255" s="654"/>
      <c r="D255" s="654"/>
      <c r="E255" s="655"/>
      <c r="F255" s="654"/>
      <c r="H255" s="609" t="str">
        <f t="shared" si="42"/>
        <v/>
      </c>
      <c r="I255" s="609" t="str">
        <f t="shared" si="53"/>
        <v/>
      </c>
      <c r="J255" s="609" t="str">
        <f t="shared" si="53"/>
        <v/>
      </c>
      <c r="K255" s="609" t="str">
        <f t="shared" si="53"/>
        <v/>
      </c>
      <c r="L255" s="609" t="str">
        <f t="shared" si="53"/>
        <v/>
      </c>
      <c r="M255" s="609" t="str">
        <f t="shared" si="53"/>
        <v/>
      </c>
      <c r="N255" s="609" t="str">
        <f t="shared" si="53"/>
        <v/>
      </c>
      <c r="O255" s="609" t="str">
        <f t="shared" si="53"/>
        <v/>
      </c>
      <c r="P255" s="609" t="str">
        <f t="shared" si="53"/>
        <v/>
      </c>
      <c r="Q255" s="609" t="str">
        <f t="shared" si="53"/>
        <v/>
      </c>
      <c r="R255" s="609" t="str">
        <f t="shared" si="53"/>
        <v/>
      </c>
      <c r="S255" s="609" t="str">
        <f t="shared" si="53"/>
        <v/>
      </c>
      <c r="T255" s="609" t="str">
        <f t="shared" si="53"/>
        <v/>
      </c>
      <c r="U255" s="609" t="str">
        <f t="shared" si="53"/>
        <v/>
      </c>
      <c r="V255" s="609" t="str">
        <f t="shared" si="53"/>
        <v/>
      </c>
      <c r="W255" s="609" t="str">
        <f t="shared" si="53"/>
        <v/>
      </c>
      <c r="X255" s="609" t="str">
        <f t="shared" si="53"/>
        <v/>
      </c>
      <c r="Y255" s="609" t="str">
        <f t="shared" si="53"/>
        <v/>
      </c>
      <c r="Z255" s="609" t="str">
        <f t="shared" si="53"/>
        <v/>
      </c>
      <c r="AA255" s="609" t="str">
        <f t="shared" si="53"/>
        <v/>
      </c>
      <c r="AB255" s="609" t="str">
        <f t="shared" si="53"/>
        <v/>
      </c>
      <c r="AC255" s="609" t="str">
        <f t="shared" si="53"/>
        <v/>
      </c>
      <c r="AD255" s="609" t="str">
        <f t="shared" si="53"/>
        <v/>
      </c>
      <c r="AE255" s="609" t="str">
        <f t="shared" si="53"/>
        <v/>
      </c>
      <c r="AF255" s="609" t="str">
        <f t="shared" si="53"/>
        <v/>
      </c>
      <c r="AG255" s="609" t="str">
        <f t="shared" si="53"/>
        <v/>
      </c>
      <c r="AH255" s="609" t="str">
        <f t="shared" si="53"/>
        <v/>
      </c>
      <c r="AI255" s="609" t="str">
        <f t="shared" si="53"/>
        <v/>
      </c>
      <c r="AJ255" s="609" t="str">
        <f t="shared" si="53"/>
        <v/>
      </c>
      <c r="AK255" s="609" t="str">
        <f t="shared" si="53"/>
        <v/>
      </c>
      <c r="AL255" s="609" t="str">
        <f t="shared" si="53"/>
        <v/>
      </c>
      <c r="AM255" s="609" t="str">
        <f t="shared" si="53"/>
        <v/>
      </c>
      <c r="AN255" s="609" t="str">
        <f t="shared" si="53"/>
        <v/>
      </c>
      <c r="AO255" s="609" t="str">
        <f t="shared" si="53"/>
        <v/>
      </c>
      <c r="AP255" s="609" t="str">
        <f t="shared" si="53"/>
        <v/>
      </c>
      <c r="AQ255" s="609" t="str">
        <f t="shared" si="53"/>
        <v/>
      </c>
      <c r="AR255" s="609" t="str">
        <f t="shared" si="53"/>
        <v/>
      </c>
      <c r="AS255" s="609" t="str">
        <f t="shared" si="53"/>
        <v/>
      </c>
      <c r="AT255" s="609" t="str">
        <f t="shared" si="53"/>
        <v/>
      </c>
      <c r="AU255" s="609" t="str">
        <f t="shared" si="53"/>
        <v/>
      </c>
      <c r="AV255" s="609" t="str">
        <f t="shared" si="53"/>
        <v/>
      </c>
      <c r="AW255" s="609" t="str">
        <f t="shared" si="53"/>
        <v/>
      </c>
      <c r="AX255" s="609" t="str">
        <f t="shared" si="53"/>
        <v/>
      </c>
      <c r="AY255" s="609" t="str">
        <f t="shared" si="53"/>
        <v/>
      </c>
      <c r="AZ255" s="609" t="str">
        <f t="shared" si="53"/>
        <v/>
      </c>
      <c r="BA255" s="609" t="str">
        <f t="shared" si="53"/>
        <v/>
      </c>
      <c r="BB255" s="609" t="str">
        <f t="shared" si="53"/>
        <v/>
      </c>
      <c r="BC255" s="609" t="str">
        <f t="shared" si="53"/>
        <v/>
      </c>
      <c r="BD255" s="609" t="str">
        <f t="shared" si="53"/>
        <v/>
      </c>
      <c r="BE255" s="609" t="str">
        <f t="shared" si="53"/>
        <v/>
      </c>
      <c r="BF255" s="609" t="str">
        <f t="shared" si="53"/>
        <v/>
      </c>
      <c r="BG255" s="609" t="str">
        <f t="shared" si="53"/>
        <v/>
      </c>
    </row>
    <row r="256" spans="2:59" x14ac:dyDescent="0.25">
      <c r="B256" s="654">
        <v>250</v>
      </c>
      <c r="C256" s="654"/>
      <c r="D256" s="654"/>
      <c r="E256" s="655"/>
      <c r="F256" s="654"/>
      <c r="H256" s="609" t="str">
        <f t="shared" si="42"/>
        <v/>
      </c>
      <c r="I256" s="609" t="str">
        <f t="shared" si="53"/>
        <v/>
      </c>
      <c r="J256" s="609" t="str">
        <f t="shared" si="53"/>
        <v/>
      </c>
      <c r="K256" s="609" t="str">
        <f t="shared" si="53"/>
        <v/>
      </c>
      <c r="L256" s="609" t="str">
        <f t="shared" si="53"/>
        <v/>
      </c>
      <c r="M256" s="609" t="str">
        <f t="shared" si="53"/>
        <v/>
      </c>
      <c r="N256" s="609" t="str">
        <f t="shared" si="53"/>
        <v/>
      </c>
      <c r="O256" s="609" t="str">
        <f t="shared" si="53"/>
        <v/>
      </c>
      <c r="P256" s="609" t="str">
        <f t="shared" si="53"/>
        <v/>
      </c>
      <c r="Q256" s="609" t="str">
        <f t="shared" si="53"/>
        <v/>
      </c>
      <c r="R256" s="609" t="str">
        <f t="shared" si="53"/>
        <v/>
      </c>
      <c r="S256" s="609" t="str">
        <f t="shared" si="53"/>
        <v/>
      </c>
      <c r="T256" s="609" t="str">
        <f t="shared" si="53"/>
        <v/>
      </c>
      <c r="U256" s="609" t="str">
        <f t="shared" si="53"/>
        <v/>
      </c>
      <c r="V256" s="609" t="str">
        <f t="shared" si="53"/>
        <v/>
      </c>
      <c r="W256" s="609" t="str">
        <f t="shared" si="53"/>
        <v/>
      </c>
      <c r="X256" s="609" t="str">
        <f t="shared" si="53"/>
        <v/>
      </c>
      <c r="Y256" s="609" t="str">
        <f t="shared" si="53"/>
        <v/>
      </c>
      <c r="Z256" s="609" t="str">
        <f t="shared" si="53"/>
        <v/>
      </c>
      <c r="AA256" s="609" t="str">
        <f t="shared" si="53"/>
        <v/>
      </c>
      <c r="AB256" s="609" t="str">
        <f t="shared" si="53"/>
        <v/>
      </c>
      <c r="AC256" s="609" t="str">
        <f t="shared" si="53"/>
        <v/>
      </c>
      <c r="AD256" s="609" t="str">
        <f t="shared" si="53"/>
        <v/>
      </c>
      <c r="AE256" s="609" t="str">
        <f t="shared" si="53"/>
        <v/>
      </c>
      <c r="AF256" s="609" t="str">
        <f t="shared" si="53"/>
        <v/>
      </c>
      <c r="AG256" s="609" t="str">
        <f t="shared" si="53"/>
        <v/>
      </c>
      <c r="AH256" s="609" t="str">
        <f t="shared" si="53"/>
        <v/>
      </c>
      <c r="AI256" s="609" t="str">
        <f t="shared" si="53"/>
        <v/>
      </c>
      <c r="AJ256" s="609" t="str">
        <f t="shared" si="53"/>
        <v/>
      </c>
      <c r="AK256" s="609" t="str">
        <f t="shared" si="53"/>
        <v/>
      </c>
      <c r="AL256" s="609" t="str">
        <f t="shared" si="53"/>
        <v/>
      </c>
      <c r="AM256" s="609" t="str">
        <f t="shared" si="53"/>
        <v/>
      </c>
      <c r="AN256" s="609" t="str">
        <f t="shared" si="53"/>
        <v/>
      </c>
      <c r="AO256" s="609" t="str">
        <f t="shared" si="53"/>
        <v/>
      </c>
      <c r="AP256" s="609" t="str">
        <f t="shared" si="53"/>
        <v/>
      </c>
      <c r="AQ256" s="609" t="str">
        <f t="shared" si="53"/>
        <v/>
      </c>
      <c r="AR256" s="609" t="str">
        <f t="shared" si="53"/>
        <v/>
      </c>
      <c r="AS256" s="609" t="str">
        <f t="shared" si="53"/>
        <v/>
      </c>
      <c r="AT256" s="609" t="str">
        <f t="shared" si="53"/>
        <v/>
      </c>
      <c r="AU256" s="609" t="str">
        <f t="shared" si="53"/>
        <v/>
      </c>
      <c r="AV256" s="609" t="str">
        <f t="shared" si="53"/>
        <v/>
      </c>
      <c r="AW256" s="609" t="str">
        <f t="shared" si="53"/>
        <v/>
      </c>
      <c r="AX256" s="609" t="str">
        <f t="shared" si="53"/>
        <v/>
      </c>
      <c r="AY256" s="609" t="str">
        <f t="shared" si="53"/>
        <v/>
      </c>
      <c r="AZ256" s="609" t="str">
        <f t="shared" si="53"/>
        <v/>
      </c>
      <c r="BA256" s="609" t="str">
        <f t="shared" si="53"/>
        <v/>
      </c>
      <c r="BB256" s="609" t="str">
        <f t="shared" si="53"/>
        <v/>
      </c>
      <c r="BC256" s="609" t="str">
        <f t="shared" si="53"/>
        <v/>
      </c>
      <c r="BD256" s="609" t="str">
        <f t="shared" si="53"/>
        <v/>
      </c>
      <c r="BE256" s="609" t="str">
        <f t="shared" si="53"/>
        <v/>
      </c>
      <c r="BF256" s="609" t="str">
        <f t="shared" si="53"/>
        <v/>
      </c>
      <c r="BG256" s="609" t="str">
        <f t="shared" si="53"/>
        <v/>
      </c>
    </row>
    <row r="257" spans="2:59" x14ac:dyDescent="0.25">
      <c r="B257" s="654">
        <v>251</v>
      </c>
      <c r="C257" s="654"/>
      <c r="D257" s="654"/>
      <c r="E257" s="655"/>
      <c r="F257" s="654"/>
      <c r="H257" s="609" t="str">
        <f t="shared" si="42"/>
        <v/>
      </c>
      <c r="I257" s="609" t="str">
        <f t="shared" si="53"/>
        <v/>
      </c>
      <c r="J257" s="609" t="str">
        <f t="shared" si="53"/>
        <v/>
      </c>
      <c r="K257" s="609" t="str">
        <f t="shared" si="53"/>
        <v/>
      </c>
      <c r="L257" s="609" t="str">
        <f t="shared" si="53"/>
        <v/>
      </c>
      <c r="M257" s="609" t="str">
        <f t="shared" si="53"/>
        <v/>
      </c>
      <c r="N257" s="609" t="str">
        <f t="shared" si="53"/>
        <v/>
      </c>
      <c r="O257" s="609" t="str">
        <f t="shared" si="53"/>
        <v/>
      </c>
      <c r="P257" s="609" t="str">
        <f t="shared" si="53"/>
        <v/>
      </c>
      <c r="Q257" s="609" t="str">
        <f t="shared" si="53"/>
        <v/>
      </c>
      <c r="R257" s="609" t="str">
        <f t="shared" si="53"/>
        <v/>
      </c>
      <c r="S257" s="609" t="str">
        <f t="shared" si="53"/>
        <v/>
      </c>
      <c r="T257" s="609" t="str">
        <f t="shared" si="53"/>
        <v/>
      </c>
      <c r="U257" s="609" t="str">
        <f t="shared" si="53"/>
        <v/>
      </c>
      <c r="V257" s="609" t="str">
        <f t="shared" si="53"/>
        <v/>
      </c>
      <c r="W257" s="609" t="str">
        <f t="shared" si="53"/>
        <v/>
      </c>
      <c r="X257" s="609" t="str">
        <f t="shared" si="53"/>
        <v/>
      </c>
      <c r="Y257" s="609" t="str">
        <f t="shared" si="53"/>
        <v/>
      </c>
      <c r="Z257" s="609" t="str">
        <f t="shared" si="53"/>
        <v/>
      </c>
      <c r="AA257" s="609" t="str">
        <f t="shared" si="53"/>
        <v/>
      </c>
      <c r="AB257" s="609" t="str">
        <f t="shared" si="53"/>
        <v/>
      </c>
      <c r="AC257" s="609" t="str">
        <f t="shared" si="53"/>
        <v/>
      </c>
      <c r="AD257" s="609" t="str">
        <f t="shared" si="53"/>
        <v/>
      </c>
      <c r="AE257" s="609" t="str">
        <f t="shared" si="53"/>
        <v/>
      </c>
      <c r="AF257" s="609" t="str">
        <f t="shared" si="53"/>
        <v/>
      </c>
      <c r="AG257" s="609" t="str">
        <f t="shared" si="53"/>
        <v/>
      </c>
      <c r="AH257" s="609" t="str">
        <f t="shared" si="53"/>
        <v/>
      </c>
      <c r="AI257" s="609" t="str">
        <f t="shared" si="53"/>
        <v/>
      </c>
      <c r="AJ257" s="609" t="str">
        <f t="shared" si="53"/>
        <v/>
      </c>
      <c r="AK257" s="609" t="str">
        <f t="shared" si="53"/>
        <v/>
      </c>
      <c r="AL257" s="609" t="str">
        <f t="shared" si="53"/>
        <v/>
      </c>
      <c r="AM257" s="609" t="str">
        <f t="shared" si="53"/>
        <v/>
      </c>
      <c r="AN257" s="609" t="str">
        <f t="shared" si="53"/>
        <v/>
      </c>
      <c r="AO257" s="609" t="str">
        <f t="shared" si="53"/>
        <v/>
      </c>
      <c r="AP257" s="609" t="str">
        <f t="shared" si="53"/>
        <v/>
      </c>
      <c r="AQ257" s="609" t="str">
        <f t="shared" si="53"/>
        <v/>
      </c>
      <c r="AR257" s="609" t="str">
        <f t="shared" si="53"/>
        <v/>
      </c>
      <c r="AS257" s="609" t="str">
        <f t="shared" si="53"/>
        <v/>
      </c>
      <c r="AT257" s="609" t="str">
        <f t="shared" si="53"/>
        <v/>
      </c>
      <c r="AU257" s="609" t="str">
        <f t="shared" si="53"/>
        <v/>
      </c>
      <c r="AV257" s="609" t="str">
        <f t="shared" si="53"/>
        <v/>
      </c>
      <c r="AW257" s="609" t="str">
        <f t="shared" si="53"/>
        <v/>
      </c>
      <c r="AX257" s="609" t="str">
        <f t="shared" si="53"/>
        <v/>
      </c>
      <c r="AY257" s="609" t="str">
        <f t="shared" si="53"/>
        <v/>
      </c>
      <c r="AZ257" s="609" t="str">
        <f t="shared" si="53"/>
        <v/>
      </c>
      <c r="BA257" s="609" t="str">
        <f t="shared" si="53"/>
        <v/>
      </c>
      <c r="BB257" s="609" t="str">
        <f t="shared" si="53"/>
        <v/>
      </c>
      <c r="BC257" s="609" t="str">
        <f t="shared" si="53"/>
        <v/>
      </c>
      <c r="BD257" s="609" t="str">
        <f t="shared" si="53"/>
        <v/>
      </c>
      <c r="BE257" s="609" t="str">
        <f t="shared" si="53"/>
        <v/>
      </c>
      <c r="BF257" s="609" t="str">
        <f t="shared" si="53"/>
        <v/>
      </c>
      <c r="BG257" s="609" t="str">
        <f t="shared" si="53"/>
        <v/>
      </c>
    </row>
    <row r="258" spans="2:59" x14ac:dyDescent="0.25">
      <c r="B258" s="654">
        <v>252</v>
      </c>
      <c r="C258" s="654"/>
      <c r="D258" s="654"/>
      <c r="E258" s="655"/>
      <c r="F258" s="654"/>
      <c r="H258" s="609" t="str">
        <f t="shared" si="42"/>
        <v/>
      </c>
      <c r="I258" s="609" t="str">
        <f t="shared" si="53"/>
        <v/>
      </c>
      <c r="J258" s="609" t="str">
        <f t="shared" si="53"/>
        <v/>
      </c>
      <c r="K258" s="609" t="str">
        <f t="shared" si="53"/>
        <v/>
      </c>
      <c r="L258" s="609" t="str">
        <f t="shared" si="53"/>
        <v/>
      </c>
      <c r="M258" s="609" t="str">
        <f t="shared" si="53"/>
        <v/>
      </c>
      <c r="N258" s="609" t="str">
        <f t="shared" si="53"/>
        <v/>
      </c>
      <c r="O258" s="609" t="str">
        <f t="shared" si="53"/>
        <v/>
      </c>
      <c r="P258" s="609" t="str">
        <f t="shared" si="53"/>
        <v/>
      </c>
      <c r="Q258" s="609" t="str">
        <f t="shared" si="53"/>
        <v/>
      </c>
      <c r="R258" s="609" t="str">
        <f t="shared" ref="I258:BG263" si="54">IF($D258=R$6,$B258&amp;", ","")</f>
        <v/>
      </c>
      <c r="S258" s="609" t="str">
        <f t="shared" si="54"/>
        <v/>
      </c>
      <c r="T258" s="609" t="str">
        <f t="shared" si="54"/>
        <v/>
      </c>
      <c r="U258" s="609" t="str">
        <f t="shared" si="54"/>
        <v/>
      </c>
      <c r="V258" s="609" t="str">
        <f t="shared" si="54"/>
        <v/>
      </c>
      <c r="W258" s="609" t="str">
        <f t="shared" si="54"/>
        <v/>
      </c>
      <c r="X258" s="609" t="str">
        <f t="shared" si="54"/>
        <v/>
      </c>
      <c r="Y258" s="609" t="str">
        <f t="shared" si="54"/>
        <v/>
      </c>
      <c r="Z258" s="609" t="str">
        <f t="shared" si="54"/>
        <v/>
      </c>
      <c r="AA258" s="609" t="str">
        <f t="shared" si="54"/>
        <v/>
      </c>
      <c r="AB258" s="609" t="str">
        <f t="shared" si="54"/>
        <v/>
      </c>
      <c r="AC258" s="609" t="str">
        <f t="shared" si="54"/>
        <v/>
      </c>
      <c r="AD258" s="609" t="str">
        <f t="shared" si="54"/>
        <v/>
      </c>
      <c r="AE258" s="609" t="str">
        <f t="shared" si="54"/>
        <v/>
      </c>
      <c r="AF258" s="609" t="str">
        <f t="shared" si="54"/>
        <v/>
      </c>
      <c r="AG258" s="609" t="str">
        <f t="shared" si="54"/>
        <v/>
      </c>
      <c r="AH258" s="609" t="str">
        <f t="shared" si="54"/>
        <v/>
      </c>
      <c r="AI258" s="609" t="str">
        <f t="shared" si="54"/>
        <v/>
      </c>
      <c r="AJ258" s="609" t="str">
        <f t="shared" si="54"/>
        <v/>
      </c>
      <c r="AK258" s="609" t="str">
        <f t="shared" si="54"/>
        <v/>
      </c>
      <c r="AL258" s="609" t="str">
        <f t="shared" si="54"/>
        <v/>
      </c>
      <c r="AM258" s="609" t="str">
        <f t="shared" si="54"/>
        <v/>
      </c>
      <c r="AN258" s="609" t="str">
        <f t="shared" si="54"/>
        <v/>
      </c>
      <c r="AO258" s="609" t="str">
        <f t="shared" si="54"/>
        <v/>
      </c>
      <c r="AP258" s="609" t="str">
        <f t="shared" si="54"/>
        <v/>
      </c>
      <c r="AQ258" s="609" t="str">
        <f t="shared" si="54"/>
        <v/>
      </c>
      <c r="AR258" s="609" t="str">
        <f t="shared" si="54"/>
        <v/>
      </c>
      <c r="AS258" s="609" t="str">
        <f t="shared" si="54"/>
        <v/>
      </c>
      <c r="AT258" s="609" t="str">
        <f t="shared" si="54"/>
        <v/>
      </c>
      <c r="AU258" s="609" t="str">
        <f t="shared" si="54"/>
        <v/>
      </c>
      <c r="AV258" s="609" t="str">
        <f t="shared" si="54"/>
        <v/>
      </c>
      <c r="AW258" s="609" t="str">
        <f t="shared" si="54"/>
        <v/>
      </c>
      <c r="AX258" s="609" t="str">
        <f t="shared" si="54"/>
        <v/>
      </c>
      <c r="AY258" s="609" t="str">
        <f t="shared" si="54"/>
        <v/>
      </c>
      <c r="AZ258" s="609" t="str">
        <f t="shared" si="54"/>
        <v/>
      </c>
      <c r="BA258" s="609" t="str">
        <f t="shared" si="54"/>
        <v/>
      </c>
      <c r="BB258" s="609" t="str">
        <f t="shared" si="54"/>
        <v/>
      </c>
      <c r="BC258" s="609" t="str">
        <f t="shared" si="54"/>
        <v/>
      </c>
      <c r="BD258" s="609" t="str">
        <f t="shared" si="54"/>
        <v/>
      </c>
      <c r="BE258" s="609" t="str">
        <f t="shared" si="54"/>
        <v/>
      </c>
      <c r="BF258" s="609" t="str">
        <f t="shared" si="54"/>
        <v/>
      </c>
      <c r="BG258" s="609" t="str">
        <f t="shared" si="54"/>
        <v/>
      </c>
    </row>
    <row r="259" spans="2:59" x14ac:dyDescent="0.25">
      <c r="B259" s="654">
        <v>253</v>
      </c>
      <c r="C259" s="654"/>
      <c r="D259" s="654"/>
      <c r="E259" s="655"/>
      <c r="F259" s="654"/>
      <c r="H259" s="609" t="str">
        <f t="shared" si="42"/>
        <v/>
      </c>
      <c r="I259" s="609" t="str">
        <f t="shared" si="54"/>
        <v/>
      </c>
      <c r="J259" s="609" t="str">
        <f t="shared" si="54"/>
        <v/>
      </c>
      <c r="K259" s="609" t="str">
        <f t="shared" si="54"/>
        <v/>
      </c>
      <c r="L259" s="609" t="str">
        <f t="shared" si="54"/>
        <v/>
      </c>
      <c r="M259" s="609" t="str">
        <f t="shared" si="54"/>
        <v/>
      </c>
      <c r="N259" s="609" t="str">
        <f t="shared" si="54"/>
        <v/>
      </c>
      <c r="O259" s="609" t="str">
        <f t="shared" si="54"/>
        <v/>
      </c>
      <c r="P259" s="609" t="str">
        <f t="shared" si="54"/>
        <v/>
      </c>
      <c r="Q259" s="609" t="str">
        <f t="shared" si="54"/>
        <v/>
      </c>
      <c r="R259" s="609" t="str">
        <f t="shared" si="54"/>
        <v/>
      </c>
      <c r="S259" s="609" t="str">
        <f t="shared" si="54"/>
        <v/>
      </c>
      <c r="T259" s="609" t="str">
        <f t="shared" si="54"/>
        <v/>
      </c>
      <c r="U259" s="609" t="str">
        <f t="shared" si="54"/>
        <v/>
      </c>
      <c r="V259" s="609" t="str">
        <f t="shared" si="54"/>
        <v/>
      </c>
      <c r="W259" s="609" t="str">
        <f t="shared" si="54"/>
        <v/>
      </c>
      <c r="X259" s="609" t="str">
        <f t="shared" si="54"/>
        <v/>
      </c>
      <c r="Y259" s="609" t="str">
        <f t="shared" si="54"/>
        <v/>
      </c>
      <c r="Z259" s="609" t="str">
        <f t="shared" si="54"/>
        <v/>
      </c>
      <c r="AA259" s="609" t="str">
        <f t="shared" si="54"/>
        <v/>
      </c>
      <c r="AB259" s="609" t="str">
        <f t="shared" si="54"/>
        <v/>
      </c>
      <c r="AC259" s="609" t="str">
        <f t="shared" si="54"/>
        <v/>
      </c>
      <c r="AD259" s="609" t="str">
        <f t="shared" si="54"/>
        <v/>
      </c>
      <c r="AE259" s="609" t="str">
        <f t="shared" si="54"/>
        <v/>
      </c>
      <c r="AF259" s="609" t="str">
        <f t="shared" si="54"/>
        <v/>
      </c>
      <c r="AG259" s="609" t="str">
        <f t="shared" si="54"/>
        <v/>
      </c>
      <c r="AH259" s="609" t="str">
        <f t="shared" si="54"/>
        <v/>
      </c>
      <c r="AI259" s="609" t="str">
        <f t="shared" si="54"/>
        <v/>
      </c>
      <c r="AJ259" s="609" t="str">
        <f t="shared" si="54"/>
        <v/>
      </c>
      <c r="AK259" s="609" t="str">
        <f t="shared" si="54"/>
        <v/>
      </c>
      <c r="AL259" s="609" t="str">
        <f t="shared" si="54"/>
        <v/>
      </c>
      <c r="AM259" s="609" t="str">
        <f t="shared" si="54"/>
        <v/>
      </c>
      <c r="AN259" s="609" t="str">
        <f t="shared" si="54"/>
        <v/>
      </c>
      <c r="AO259" s="609" t="str">
        <f t="shared" si="54"/>
        <v/>
      </c>
      <c r="AP259" s="609" t="str">
        <f t="shared" si="54"/>
        <v/>
      </c>
      <c r="AQ259" s="609" t="str">
        <f t="shared" si="54"/>
        <v/>
      </c>
      <c r="AR259" s="609" t="str">
        <f t="shared" si="54"/>
        <v/>
      </c>
      <c r="AS259" s="609" t="str">
        <f t="shared" si="54"/>
        <v/>
      </c>
      <c r="AT259" s="609" t="str">
        <f t="shared" si="54"/>
        <v/>
      </c>
      <c r="AU259" s="609" t="str">
        <f t="shared" si="54"/>
        <v/>
      </c>
      <c r="AV259" s="609" t="str">
        <f t="shared" si="54"/>
        <v/>
      </c>
      <c r="AW259" s="609" t="str">
        <f t="shared" si="54"/>
        <v/>
      </c>
      <c r="AX259" s="609" t="str">
        <f t="shared" si="54"/>
        <v/>
      </c>
      <c r="AY259" s="609" t="str">
        <f t="shared" si="54"/>
        <v/>
      </c>
      <c r="AZ259" s="609" t="str">
        <f t="shared" si="54"/>
        <v/>
      </c>
      <c r="BA259" s="609" t="str">
        <f t="shared" si="54"/>
        <v/>
      </c>
      <c r="BB259" s="609" t="str">
        <f t="shared" si="54"/>
        <v/>
      </c>
      <c r="BC259" s="609" t="str">
        <f t="shared" si="54"/>
        <v/>
      </c>
      <c r="BD259" s="609" t="str">
        <f t="shared" si="54"/>
        <v/>
      </c>
      <c r="BE259" s="609" t="str">
        <f t="shared" si="54"/>
        <v/>
      </c>
      <c r="BF259" s="609" t="str">
        <f t="shared" si="54"/>
        <v/>
      </c>
      <c r="BG259" s="609" t="str">
        <f t="shared" si="54"/>
        <v/>
      </c>
    </row>
    <row r="260" spans="2:59" x14ac:dyDescent="0.25">
      <c r="B260" s="654">
        <v>254</v>
      </c>
      <c r="C260" s="654"/>
      <c r="D260" s="654"/>
      <c r="E260" s="655"/>
      <c r="F260" s="654"/>
      <c r="H260" s="609" t="str">
        <f t="shared" si="42"/>
        <v/>
      </c>
      <c r="I260" s="609" t="str">
        <f t="shared" si="54"/>
        <v/>
      </c>
      <c r="J260" s="609" t="str">
        <f t="shared" si="54"/>
        <v/>
      </c>
      <c r="K260" s="609" t="str">
        <f t="shared" si="54"/>
        <v/>
      </c>
      <c r="L260" s="609" t="str">
        <f t="shared" si="54"/>
        <v/>
      </c>
      <c r="M260" s="609" t="str">
        <f t="shared" si="54"/>
        <v/>
      </c>
      <c r="N260" s="609" t="str">
        <f t="shared" si="54"/>
        <v/>
      </c>
      <c r="O260" s="609" t="str">
        <f t="shared" si="54"/>
        <v/>
      </c>
      <c r="P260" s="609" t="str">
        <f t="shared" si="54"/>
        <v/>
      </c>
      <c r="Q260" s="609" t="str">
        <f t="shared" si="54"/>
        <v/>
      </c>
      <c r="R260" s="609" t="str">
        <f t="shared" si="54"/>
        <v/>
      </c>
      <c r="S260" s="609" t="str">
        <f t="shared" si="54"/>
        <v/>
      </c>
      <c r="T260" s="609" t="str">
        <f t="shared" si="54"/>
        <v/>
      </c>
      <c r="U260" s="609" t="str">
        <f t="shared" si="54"/>
        <v/>
      </c>
      <c r="V260" s="609" t="str">
        <f t="shared" si="54"/>
        <v/>
      </c>
      <c r="W260" s="609" t="str">
        <f t="shared" si="54"/>
        <v/>
      </c>
      <c r="X260" s="609" t="str">
        <f t="shared" si="54"/>
        <v/>
      </c>
      <c r="Y260" s="609" t="str">
        <f t="shared" si="54"/>
        <v/>
      </c>
      <c r="Z260" s="609" t="str">
        <f t="shared" si="54"/>
        <v/>
      </c>
      <c r="AA260" s="609" t="str">
        <f t="shared" si="54"/>
        <v/>
      </c>
      <c r="AB260" s="609" t="str">
        <f t="shared" si="54"/>
        <v/>
      </c>
      <c r="AC260" s="609" t="str">
        <f t="shared" si="54"/>
        <v/>
      </c>
      <c r="AD260" s="609" t="str">
        <f t="shared" si="54"/>
        <v/>
      </c>
      <c r="AE260" s="609" t="str">
        <f t="shared" si="54"/>
        <v/>
      </c>
      <c r="AF260" s="609" t="str">
        <f t="shared" si="54"/>
        <v/>
      </c>
      <c r="AG260" s="609" t="str">
        <f t="shared" si="54"/>
        <v/>
      </c>
      <c r="AH260" s="609" t="str">
        <f t="shared" si="54"/>
        <v/>
      </c>
      <c r="AI260" s="609" t="str">
        <f t="shared" si="54"/>
        <v/>
      </c>
      <c r="AJ260" s="609" t="str">
        <f t="shared" si="54"/>
        <v/>
      </c>
      <c r="AK260" s="609" t="str">
        <f t="shared" si="54"/>
        <v/>
      </c>
      <c r="AL260" s="609" t="str">
        <f t="shared" si="54"/>
        <v/>
      </c>
      <c r="AM260" s="609" t="str">
        <f t="shared" si="54"/>
        <v/>
      </c>
      <c r="AN260" s="609" t="str">
        <f t="shared" si="54"/>
        <v/>
      </c>
      <c r="AO260" s="609" t="str">
        <f t="shared" si="54"/>
        <v/>
      </c>
      <c r="AP260" s="609" t="str">
        <f t="shared" si="54"/>
        <v/>
      </c>
      <c r="AQ260" s="609" t="str">
        <f t="shared" si="54"/>
        <v/>
      </c>
      <c r="AR260" s="609" t="str">
        <f t="shared" si="54"/>
        <v/>
      </c>
      <c r="AS260" s="609" t="str">
        <f t="shared" si="54"/>
        <v/>
      </c>
      <c r="AT260" s="609" t="str">
        <f t="shared" si="54"/>
        <v/>
      </c>
      <c r="AU260" s="609" t="str">
        <f t="shared" si="54"/>
        <v/>
      </c>
      <c r="AV260" s="609" t="str">
        <f t="shared" si="54"/>
        <v/>
      </c>
      <c r="AW260" s="609" t="str">
        <f t="shared" si="54"/>
        <v/>
      </c>
      <c r="AX260" s="609" t="str">
        <f t="shared" si="54"/>
        <v/>
      </c>
      <c r="AY260" s="609" t="str">
        <f t="shared" si="54"/>
        <v/>
      </c>
      <c r="AZ260" s="609" t="str">
        <f t="shared" si="54"/>
        <v/>
      </c>
      <c r="BA260" s="609" t="str">
        <f t="shared" si="54"/>
        <v/>
      </c>
      <c r="BB260" s="609" t="str">
        <f t="shared" si="54"/>
        <v/>
      </c>
      <c r="BC260" s="609" t="str">
        <f t="shared" si="54"/>
        <v/>
      </c>
      <c r="BD260" s="609" t="str">
        <f t="shared" si="54"/>
        <v/>
      </c>
      <c r="BE260" s="609" t="str">
        <f t="shared" si="54"/>
        <v/>
      </c>
      <c r="BF260" s="609" t="str">
        <f t="shared" si="54"/>
        <v/>
      </c>
      <c r="BG260" s="609" t="str">
        <f t="shared" si="54"/>
        <v/>
      </c>
    </row>
    <row r="261" spans="2:59" x14ac:dyDescent="0.25">
      <c r="B261" s="654">
        <v>255</v>
      </c>
      <c r="C261" s="654"/>
      <c r="D261" s="654"/>
      <c r="E261" s="655"/>
      <c r="F261" s="654"/>
      <c r="H261" s="609" t="str">
        <f t="shared" si="42"/>
        <v/>
      </c>
      <c r="I261" s="609" t="str">
        <f t="shared" si="54"/>
        <v/>
      </c>
      <c r="J261" s="609" t="str">
        <f t="shared" si="54"/>
        <v/>
      </c>
      <c r="K261" s="609" t="str">
        <f t="shared" si="54"/>
        <v/>
      </c>
      <c r="L261" s="609" t="str">
        <f t="shared" si="54"/>
        <v/>
      </c>
      <c r="M261" s="609" t="str">
        <f t="shared" si="54"/>
        <v/>
      </c>
      <c r="N261" s="609" t="str">
        <f t="shared" si="54"/>
        <v/>
      </c>
      <c r="O261" s="609" t="str">
        <f t="shared" si="54"/>
        <v/>
      </c>
      <c r="P261" s="609" t="str">
        <f t="shared" si="54"/>
        <v/>
      </c>
      <c r="Q261" s="609" t="str">
        <f t="shared" si="54"/>
        <v/>
      </c>
      <c r="R261" s="609" t="str">
        <f t="shared" si="54"/>
        <v/>
      </c>
      <c r="S261" s="609" t="str">
        <f t="shared" si="54"/>
        <v/>
      </c>
      <c r="T261" s="609" t="str">
        <f t="shared" si="54"/>
        <v/>
      </c>
      <c r="U261" s="609" t="str">
        <f t="shared" si="54"/>
        <v/>
      </c>
      <c r="V261" s="609" t="str">
        <f t="shared" si="54"/>
        <v/>
      </c>
      <c r="W261" s="609" t="str">
        <f t="shared" si="54"/>
        <v/>
      </c>
      <c r="X261" s="609" t="str">
        <f t="shared" si="54"/>
        <v/>
      </c>
      <c r="Y261" s="609" t="str">
        <f t="shared" si="54"/>
        <v/>
      </c>
      <c r="Z261" s="609" t="str">
        <f t="shared" si="54"/>
        <v/>
      </c>
      <c r="AA261" s="609" t="str">
        <f t="shared" si="54"/>
        <v/>
      </c>
      <c r="AB261" s="609" t="str">
        <f t="shared" si="54"/>
        <v/>
      </c>
      <c r="AC261" s="609" t="str">
        <f t="shared" si="54"/>
        <v/>
      </c>
      <c r="AD261" s="609" t="str">
        <f t="shared" si="54"/>
        <v/>
      </c>
      <c r="AE261" s="609" t="str">
        <f t="shared" si="54"/>
        <v/>
      </c>
      <c r="AF261" s="609" t="str">
        <f t="shared" si="54"/>
        <v/>
      </c>
      <c r="AG261" s="609" t="str">
        <f t="shared" si="54"/>
        <v/>
      </c>
      <c r="AH261" s="609" t="str">
        <f t="shared" si="54"/>
        <v/>
      </c>
      <c r="AI261" s="609" t="str">
        <f t="shared" si="54"/>
        <v/>
      </c>
      <c r="AJ261" s="609" t="str">
        <f t="shared" si="54"/>
        <v/>
      </c>
      <c r="AK261" s="609" t="str">
        <f t="shared" si="54"/>
        <v/>
      </c>
      <c r="AL261" s="609" t="str">
        <f t="shared" si="54"/>
        <v/>
      </c>
      <c r="AM261" s="609" t="str">
        <f t="shared" si="54"/>
        <v/>
      </c>
      <c r="AN261" s="609" t="str">
        <f t="shared" si="54"/>
        <v/>
      </c>
      <c r="AO261" s="609" t="str">
        <f t="shared" si="54"/>
        <v/>
      </c>
      <c r="AP261" s="609" t="str">
        <f t="shared" si="54"/>
        <v/>
      </c>
      <c r="AQ261" s="609" t="str">
        <f t="shared" si="54"/>
        <v/>
      </c>
      <c r="AR261" s="609" t="str">
        <f t="shared" si="54"/>
        <v/>
      </c>
      <c r="AS261" s="609" t="str">
        <f t="shared" si="54"/>
        <v/>
      </c>
      <c r="AT261" s="609" t="str">
        <f t="shared" si="54"/>
        <v/>
      </c>
      <c r="AU261" s="609" t="str">
        <f t="shared" si="54"/>
        <v/>
      </c>
      <c r="AV261" s="609" t="str">
        <f t="shared" si="54"/>
        <v/>
      </c>
      <c r="AW261" s="609" t="str">
        <f t="shared" si="54"/>
        <v/>
      </c>
      <c r="AX261" s="609" t="str">
        <f t="shared" si="54"/>
        <v/>
      </c>
      <c r="AY261" s="609" t="str">
        <f t="shared" si="54"/>
        <v/>
      </c>
      <c r="AZ261" s="609" t="str">
        <f t="shared" si="54"/>
        <v/>
      </c>
      <c r="BA261" s="609" t="str">
        <f t="shared" si="54"/>
        <v/>
      </c>
      <c r="BB261" s="609" t="str">
        <f t="shared" si="54"/>
        <v/>
      </c>
      <c r="BC261" s="609" t="str">
        <f t="shared" si="54"/>
        <v/>
      </c>
      <c r="BD261" s="609" t="str">
        <f t="shared" si="54"/>
        <v/>
      </c>
      <c r="BE261" s="609" t="str">
        <f t="shared" si="54"/>
        <v/>
      </c>
      <c r="BF261" s="609" t="str">
        <f t="shared" si="54"/>
        <v/>
      </c>
      <c r="BG261" s="609" t="str">
        <f t="shared" si="54"/>
        <v/>
      </c>
    </row>
    <row r="262" spans="2:59" x14ac:dyDescent="0.25">
      <c r="B262" s="654">
        <v>256</v>
      </c>
      <c r="C262" s="654"/>
      <c r="D262" s="654"/>
      <c r="E262" s="655"/>
      <c r="F262" s="654"/>
      <c r="H262" s="609" t="str">
        <f t="shared" si="42"/>
        <v/>
      </c>
      <c r="I262" s="609" t="str">
        <f t="shared" si="54"/>
        <v/>
      </c>
      <c r="J262" s="609" t="str">
        <f t="shared" si="54"/>
        <v/>
      </c>
      <c r="K262" s="609" t="str">
        <f t="shared" si="54"/>
        <v/>
      </c>
      <c r="L262" s="609" t="str">
        <f t="shared" si="54"/>
        <v/>
      </c>
      <c r="M262" s="609" t="str">
        <f t="shared" si="54"/>
        <v/>
      </c>
      <c r="N262" s="609" t="str">
        <f t="shared" si="54"/>
        <v/>
      </c>
      <c r="O262" s="609" t="str">
        <f t="shared" si="54"/>
        <v/>
      </c>
      <c r="P262" s="609" t="str">
        <f t="shared" si="54"/>
        <v/>
      </c>
      <c r="Q262" s="609" t="str">
        <f t="shared" si="54"/>
        <v/>
      </c>
      <c r="R262" s="609" t="str">
        <f t="shared" si="54"/>
        <v/>
      </c>
      <c r="S262" s="609" t="str">
        <f t="shared" si="54"/>
        <v/>
      </c>
      <c r="T262" s="609" t="str">
        <f t="shared" si="54"/>
        <v/>
      </c>
      <c r="U262" s="609" t="str">
        <f t="shared" si="54"/>
        <v/>
      </c>
      <c r="V262" s="609" t="str">
        <f t="shared" si="54"/>
        <v/>
      </c>
      <c r="W262" s="609" t="str">
        <f t="shared" si="54"/>
        <v/>
      </c>
      <c r="X262" s="609" t="str">
        <f t="shared" si="54"/>
        <v/>
      </c>
      <c r="Y262" s="609" t="str">
        <f t="shared" si="54"/>
        <v/>
      </c>
      <c r="Z262" s="609" t="str">
        <f t="shared" si="54"/>
        <v/>
      </c>
      <c r="AA262" s="609" t="str">
        <f t="shared" si="54"/>
        <v/>
      </c>
      <c r="AB262" s="609" t="str">
        <f t="shared" si="54"/>
        <v/>
      </c>
      <c r="AC262" s="609" t="str">
        <f t="shared" si="54"/>
        <v/>
      </c>
      <c r="AD262" s="609" t="str">
        <f t="shared" si="54"/>
        <v/>
      </c>
      <c r="AE262" s="609" t="str">
        <f t="shared" si="54"/>
        <v/>
      </c>
      <c r="AF262" s="609" t="str">
        <f t="shared" si="54"/>
        <v/>
      </c>
      <c r="AG262" s="609" t="str">
        <f t="shared" si="54"/>
        <v/>
      </c>
      <c r="AH262" s="609" t="str">
        <f t="shared" si="54"/>
        <v/>
      </c>
      <c r="AI262" s="609" t="str">
        <f t="shared" si="54"/>
        <v/>
      </c>
      <c r="AJ262" s="609" t="str">
        <f t="shared" si="54"/>
        <v/>
      </c>
      <c r="AK262" s="609" t="str">
        <f t="shared" si="54"/>
        <v/>
      </c>
      <c r="AL262" s="609" t="str">
        <f t="shared" si="54"/>
        <v/>
      </c>
      <c r="AM262" s="609" t="str">
        <f t="shared" si="54"/>
        <v/>
      </c>
      <c r="AN262" s="609" t="str">
        <f t="shared" si="54"/>
        <v/>
      </c>
      <c r="AO262" s="609" t="str">
        <f t="shared" si="54"/>
        <v/>
      </c>
      <c r="AP262" s="609" t="str">
        <f t="shared" si="54"/>
        <v/>
      </c>
      <c r="AQ262" s="609" t="str">
        <f t="shared" si="54"/>
        <v/>
      </c>
      <c r="AR262" s="609" t="str">
        <f t="shared" si="54"/>
        <v/>
      </c>
      <c r="AS262" s="609" t="str">
        <f t="shared" si="54"/>
        <v/>
      </c>
      <c r="AT262" s="609" t="str">
        <f t="shared" si="54"/>
        <v/>
      </c>
      <c r="AU262" s="609" t="str">
        <f t="shared" si="54"/>
        <v/>
      </c>
      <c r="AV262" s="609" t="str">
        <f t="shared" si="54"/>
        <v/>
      </c>
      <c r="AW262" s="609" t="str">
        <f t="shared" si="54"/>
        <v/>
      </c>
      <c r="AX262" s="609" t="str">
        <f t="shared" si="54"/>
        <v/>
      </c>
      <c r="AY262" s="609" t="str">
        <f t="shared" si="54"/>
        <v/>
      </c>
      <c r="AZ262" s="609" t="str">
        <f t="shared" si="54"/>
        <v/>
      </c>
      <c r="BA262" s="609" t="str">
        <f t="shared" si="54"/>
        <v/>
      </c>
      <c r="BB262" s="609" t="str">
        <f t="shared" si="54"/>
        <v/>
      </c>
      <c r="BC262" s="609" t="str">
        <f t="shared" si="54"/>
        <v/>
      </c>
      <c r="BD262" s="609" t="str">
        <f t="shared" si="54"/>
        <v/>
      </c>
      <c r="BE262" s="609" t="str">
        <f t="shared" si="54"/>
        <v/>
      </c>
      <c r="BF262" s="609" t="str">
        <f t="shared" si="54"/>
        <v/>
      </c>
      <c r="BG262" s="609" t="str">
        <f t="shared" si="54"/>
        <v/>
      </c>
    </row>
    <row r="263" spans="2:59" x14ac:dyDescent="0.25">
      <c r="B263" s="654">
        <v>257</v>
      </c>
      <c r="C263" s="654"/>
      <c r="D263" s="654"/>
      <c r="E263" s="655"/>
      <c r="F263" s="654"/>
      <c r="H263" s="609" t="str">
        <f t="shared" si="42"/>
        <v/>
      </c>
      <c r="I263" s="609" t="str">
        <f t="shared" si="54"/>
        <v/>
      </c>
      <c r="J263" s="609" t="str">
        <f t="shared" si="54"/>
        <v/>
      </c>
      <c r="K263" s="609" t="str">
        <f t="shared" si="54"/>
        <v/>
      </c>
      <c r="L263" s="609" t="str">
        <f t="shared" si="54"/>
        <v/>
      </c>
      <c r="M263" s="609" t="str">
        <f t="shared" si="54"/>
        <v/>
      </c>
      <c r="N263" s="609" t="str">
        <f t="shared" si="54"/>
        <v/>
      </c>
      <c r="O263" s="609" t="str">
        <f t="shared" si="54"/>
        <v/>
      </c>
      <c r="P263" s="609" t="str">
        <f t="shared" si="54"/>
        <v/>
      </c>
      <c r="Q263" s="609" t="str">
        <f t="shared" si="54"/>
        <v/>
      </c>
      <c r="R263" s="609" t="str">
        <f t="shared" ref="R263:BG264" si="55">IF($D263=R$6,$B263&amp;", ","")</f>
        <v/>
      </c>
      <c r="S263" s="609" t="str">
        <f t="shared" si="55"/>
        <v/>
      </c>
      <c r="T263" s="609" t="str">
        <f t="shared" si="55"/>
        <v/>
      </c>
      <c r="U263" s="609" t="str">
        <f t="shared" si="55"/>
        <v/>
      </c>
      <c r="V263" s="609" t="str">
        <f t="shared" si="55"/>
        <v/>
      </c>
      <c r="W263" s="609" t="str">
        <f t="shared" si="55"/>
        <v/>
      </c>
      <c r="X263" s="609" t="str">
        <f t="shared" si="55"/>
        <v/>
      </c>
      <c r="Y263" s="609" t="str">
        <f t="shared" si="55"/>
        <v/>
      </c>
      <c r="Z263" s="609" t="str">
        <f t="shared" si="55"/>
        <v/>
      </c>
      <c r="AA263" s="609" t="str">
        <f t="shared" si="55"/>
        <v/>
      </c>
      <c r="AB263" s="609" t="str">
        <f t="shared" si="55"/>
        <v/>
      </c>
      <c r="AC263" s="609" t="str">
        <f t="shared" si="55"/>
        <v/>
      </c>
      <c r="AD263" s="609" t="str">
        <f t="shared" si="55"/>
        <v/>
      </c>
      <c r="AE263" s="609" t="str">
        <f t="shared" si="55"/>
        <v/>
      </c>
      <c r="AF263" s="609" t="str">
        <f t="shared" si="55"/>
        <v/>
      </c>
      <c r="AG263" s="609" t="str">
        <f t="shared" si="55"/>
        <v/>
      </c>
      <c r="AH263" s="609" t="str">
        <f t="shared" si="55"/>
        <v/>
      </c>
      <c r="AI263" s="609" t="str">
        <f t="shared" si="55"/>
        <v/>
      </c>
      <c r="AJ263" s="609" t="str">
        <f t="shared" si="55"/>
        <v/>
      </c>
      <c r="AK263" s="609" t="str">
        <f t="shared" si="55"/>
        <v/>
      </c>
      <c r="AL263" s="609" t="str">
        <f t="shared" si="55"/>
        <v/>
      </c>
      <c r="AM263" s="609" t="str">
        <f t="shared" si="55"/>
        <v/>
      </c>
      <c r="AN263" s="609" t="str">
        <f t="shared" si="55"/>
        <v/>
      </c>
      <c r="AO263" s="609" t="str">
        <f t="shared" si="55"/>
        <v/>
      </c>
      <c r="AP263" s="609" t="str">
        <f t="shared" si="55"/>
        <v/>
      </c>
      <c r="AQ263" s="609" t="str">
        <f t="shared" si="55"/>
        <v/>
      </c>
      <c r="AR263" s="609" t="str">
        <f t="shared" si="55"/>
        <v/>
      </c>
      <c r="AS263" s="609" t="str">
        <f t="shared" si="55"/>
        <v/>
      </c>
      <c r="AT263" s="609" t="str">
        <f t="shared" si="55"/>
        <v/>
      </c>
      <c r="AU263" s="609" t="str">
        <f t="shared" si="55"/>
        <v/>
      </c>
      <c r="AV263" s="609" t="str">
        <f t="shared" si="55"/>
        <v/>
      </c>
      <c r="AW263" s="609" t="str">
        <f t="shared" si="55"/>
        <v/>
      </c>
      <c r="AX263" s="609" t="str">
        <f t="shared" si="55"/>
        <v/>
      </c>
      <c r="AY263" s="609" t="str">
        <f t="shared" si="55"/>
        <v/>
      </c>
      <c r="AZ263" s="609" t="str">
        <f t="shared" si="55"/>
        <v/>
      </c>
      <c r="BA263" s="609" t="str">
        <f t="shared" si="55"/>
        <v/>
      </c>
      <c r="BB263" s="609" t="str">
        <f t="shared" si="55"/>
        <v/>
      </c>
      <c r="BC263" s="609" t="str">
        <f t="shared" si="55"/>
        <v/>
      </c>
      <c r="BD263" s="609" t="str">
        <f t="shared" si="55"/>
        <v/>
      </c>
      <c r="BE263" s="609" t="str">
        <f t="shared" si="55"/>
        <v/>
      </c>
      <c r="BF263" s="609" t="str">
        <f t="shared" si="55"/>
        <v/>
      </c>
      <c r="BG263" s="609" t="str">
        <f t="shared" si="55"/>
        <v/>
      </c>
    </row>
    <row r="264" spans="2:59" x14ac:dyDescent="0.25">
      <c r="B264" s="654">
        <v>258</v>
      </c>
      <c r="C264" s="654"/>
      <c r="D264" s="654"/>
      <c r="E264" s="655"/>
      <c r="F264" s="654"/>
      <c r="H264" s="609" t="str">
        <f t="shared" ref="H264:W307" si="56">IF($D264=H$6,$B264&amp;", ","")</f>
        <v/>
      </c>
      <c r="I264" s="609" t="str">
        <f t="shared" si="56"/>
        <v/>
      </c>
      <c r="J264" s="609" t="str">
        <f t="shared" si="56"/>
        <v/>
      </c>
      <c r="K264" s="609" t="str">
        <f t="shared" si="56"/>
        <v/>
      </c>
      <c r="L264" s="609" t="str">
        <f t="shared" si="56"/>
        <v/>
      </c>
      <c r="M264" s="609" t="str">
        <f t="shared" si="56"/>
        <v/>
      </c>
      <c r="N264" s="609" t="str">
        <f t="shared" si="56"/>
        <v/>
      </c>
      <c r="O264" s="609" t="str">
        <f t="shared" si="56"/>
        <v/>
      </c>
      <c r="P264" s="609" t="str">
        <f t="shared" si="56"/>
        <v/>
      </c>
      <c r="Q264" s="609" t="str">
        <f t="shared" si="56"/>
        <v/>
      </c>
      <c r="R264" s="609" t="str">
        <f t="shared" si="56"/>
        <v/>
      </c>
      <c r="S264" s="609" t="str">
        <f t="shared" si="56"/>
        <v/>
      </c>
      <c r="T264" s="609" t="str">
        <f t="shared" si="56"/>
        <v/>
      </c>
      <c r="U264" s="609" t="str">
        <f t="shared" si="56"/>
        <v/>
      </c>
      <c r="V264" s="609" t="str">
        <f t="shared" si="56"/>
        <v/>
      </c>
      <c r="W264" s="609" t="str">
        <f t="shared" si="56"/>
        <v/>
      </c>
      <c r="X264" s="609" t="str">
        <f t="shared" si="55"/>
        <v/>
      </c>
      <c r="Y264" s="609" t="str">
        <f t="shared" si="55"/>
        <v/>
      </c>
      <c r="Z264" s="609" t="str">
        <f t="shared" si="55"/>
        <v/>
      </c>
      <c r="AA264" s="609" t="str">
        <f t="shared" si="55"/>
        <v/>
      </c>
      <c r="AB264" s="609" t="str">
        <f t="shared" si="55"/>
        <v/>
      </c>
      <c r="AC264" s="609" t="str">
        <f t="shared" si="55"/>
        <v/>
      </c>
      <c r="AD264" s="609" t="str">
        <f t="shared" si="55"/>
        <v/>
      </c>
      <c r="AE264" s="609" t="str">
        <f t="shared" si="55"/>
        <v/>
      </c>
      <c r="AF264" s="609" t="str">
        <f t="shared" si="55"/>
        <v/>
      </c>
      <c r="AG264" s="609" t="str">
        <f t="shared" si="55"/>
        <v/>
      </c>
      <c r="AH264" s="609" t="str">
        <f t="shared" si="55"/>
        <v/>
      </c>
      <c r="AI264" s="609" t="str">
        <f t="shared" si="55"/>
        <v/>
      </c>
      <c r="AJ264" s="609" t="str">
        <f t="shared" si="55"/>
        <v/>
      </c>
      <c r="AK264" s="609" t="str">
        <f t="shared" si="55"/>
        <v/>
      </c>
      <c r="AL264" s="609" t="str">
        <f t="shared" si="55"/>
        <v/>
      </c>
      <c r="AM264" s="609" t="str">
        <f t="shared" si="55"/>
        <v/>
      </c>
      <c r="AN264" s="609" t="str">
        <f t="shared" si="55"/>
        <v/>
      </c>
      <c r="AO264" s="609" t="str">
        <f t="shared" si="55"/>
        <v/>
      </c>
      <c r="AP264" s="609" t="str">
        <f t="shared" si="55"/>
        <v/>
      </c>
      <c r="AQ264" s="609" t="str">
        <f t="shared" si="55"/>
        <v/>
      </c>
      <c r="AR264" s="609" t="str">
        <f t="shared" si="55"/>
        <v/>
      </c>
      <c r="AS264" s="609" t="str">
        <f t="shared" si="55"/>
        <v/>
      </c>
      <c r="AT264" s="609" t="str">
        <f t="shared" si="55"/>
        <v/>
      </c>
      <c r="AU264" s="609" t="str">
        <f t="shared" si="55"/>
        <v/>
      </c>
      <c r="AV264" s="609" t="str">
        <f t="shared" si="55"/>
        <v/>
      </c>
      <c r="AW264" s="609" t="str">
        <f t="shared" si="55"/>
        <v/>
      </c>
      <c r="AX264" s="609" t="str">
        <f t="shared" si="55"/>
        <v/>
      </c>
      <c r="AY264" s="609" t="str">
        <f t="shared" si="55"/>
        <v/>
      </c>
      <c r="AZ264" s="609" t="str">
        <f t="shared" si="55"/>
        <v/>
      </c>
      <c r="BA264" s="609" t="str">
        <f t="shared" si="55"/>
        <v/>
      </c>
      <c r="BB264" s="609" t="str">
        <f t="shared" si="55"/>
        <v/>
      </c>
      <c r="BC264" s="609" t="str">
        <f t="shared" si="55"/>
        <v/>
      </c>
      <c r="BD264" s="609" t="str">
        <f t="shared" si="55"/>
        <v/>
      </c>
      <c r="BE264" s="609" t="str">
        <f t="shared" si="55"/>
        <v/>
      </c>
      <c r="BF264" s="609" t="str">
        <f t="shared" si="55"/>
        <v/>
      </c>
      <c r="BG264" s="609" t="str">
        <f t="shared" si="55"/>
        <v/>
      </c>
    </row>
    <row r="265" spans="2:59" x14ac:dyDescent="0.25">
      <c r="B265" s="654">
        <v>259</v>
      </c>
      <c r="C265" s="654"/>
      <c r="D265" s="654"/>
      <c r="E265" s="655"/>
      <c r="F265" s="654"/>
      <c r="H265" s="609" t="str">
        <f t="shared" si="56"/>
        <v/>
      </c>
      <c r="I265" s="609" t="str">
        <f t="shared" ref="I265:BG269" si="57">IF($D265=I$6,$B265&amp;", ","")</f>
        <v/>
      </c>
      <c r="J265" s="609" t="str">
        <f t="shared" si="57"/>
        <v/>
      </c>
      <c r="K265" s="609" t="str">
        <f t="shared" si="57"/>
        <v/>
      </c>
      <c r="L265" s="609" t="str">
        <f t="shared" si="57"/>
        <v/>
      </c>
      <c r="M265" s="609" t="str">
        <f t="shared" si="57"/>
        <v/>
      </c>
      <c r="N265" s="609" t="str">
        <f t="shared" si="57"/>
        <v/>
      </c>
      <c r="O265" s="609" t="str">
        <f t="shared" si="57"/>
        <v/>
      </c>
      <c r="P265" s="609" t="str">
        <f t="shared" si="57"/>
        <v/>
      </c>
      <c r="Q265" s="609" t="str">
        <f t="shared" si="57"/>
        <v/>
      </c>
      <c r="R265" s="609" t="str">
        <f t="shared" si="57"/>
        <v/>
      </c>
      <c r="S265" s="609" t="str">
        <f t="shared" si="57"/>
        <v/>
      </c>
      <c r="T265" s="609" t="str">
        <f t="shared" si="57"/>
        <v/>
      </c>
      <c r="U265" s="609" t="str">
        <f t="shared" si="57"/>
        <v/>
      </c>
      <c r="V265" s="609" t="str">
        <f t="shared" si="57"/>
        <v/>
      </c>
      <c r="W265" s="609" t="str">
        <f t="shared" si="57"/>
        <v/>
      </c>
      <c r="X265" s="609" t="str">
        <f t="shared" si="57"/>
        <v/>
      </c>
      <c r="Y265" s="609" t="str">
        <f t="shared" si="57"/>
        <v/>
      </c>
      <c r="Z265" s="609" t="str">
        <f t="shared" si="57"/>
        <v/>
      </c>
      <c r="AA265" s="609" t="str">
        <f t="shared" si="57"/>
        <v/>
      </c>
      <c r="AB265" s="609" t="str">
        <f t="shared" si="57"/>
        <v/>
      </c>
      <c r="AC265" s="609" t="str">
        <f t="shared" si="57"/>
        <v/>
      </c>
      <c r="AD265" s="609" t="str">
        <f t="shared" si="57"/>
        <v/>
      </c>
      <c r="AE265" s="609" t="str">
        <f t="shared" si="57"/>
        <v/>
      </c>
      <c r="AF265" s="609" t="str">
        <f t="shared" si="57"/>
        <v/>
      </c>
      <c r="AG265" s="609" t="str">
        <f t="shared" si="57"/>
        <v/>
      </c>
      <c r="AH265" s="609" t="str">
        <f t="shared" si="57"/>
        <v/>
      </c>
      <c r="AI265" s="609" t="str">
        <f t="shared" si="57"/>
        <v/>
      </c>
      <c r="AJ265" s="609" t="str">
        <f t="shared" si="57"/>
        <v/>
      </c>
      <c r="AK265" s="609" t="str">
        <f t="shared" si="57"/>
        <v/>
      </c>
      <c r="AL265" s="609" t="str">
        <f t="shared" si="57"/>
        <v/>
      </c>
      <c r="AM265" s="609" t="str">
        <f t="shared" si="57"/>
        <v/>
      </c>
      <c r="AN265" s="609" t="str">
        <f t="shared" si="57"/>
        <v/>
      </c>
      <c r="AO265" s="609" t="str">
        <f t="shared" si="57"/>
        <v/>
      </c>
      <c r="AP265" s="609" t="str">
        <f t="shared" si="57"/>
        <v/>
      </c>
      <c r="AQ265" s="609" t="str">
        <f t="shared" si="57"/>
        <v/>
      </c>
      <c r="AR265" s="609" t="str">
        <f t="shared" si="57"/>
        <v/>
      </c>
      <c r="AS265" s="609" t="str">
        <f t="shared" si="57"/>
        <v/>
      </c>
      <c r="AT265" s="609" t="str">
        <f t="shared" si="57"/>
        <v/>
      </c>
      <c r="AU265" s="609" t="str">
        <f t="shared" si="57"/>
        <v/>
      </c>
      <c r="AV265" s="609" t="str">
        <f t="shared" si="57"/>
        <v/>
      </c>
      <c r="AW265" s="609" t="str">
        <f t="shared" si="57"/>
        <v/>
      </c>
      <c r="AX265" s="609" t="str">
        <f t="shared" si="57"/>
        <v/>
      </c>
      <c r="AY265" s="609" t="str">
        <f t="shared" si="57"/>
        <v/>
      </c>
      <c r="AZ265" s="609" t="str">
        <f t="shared" si="57"/>
        <v/>
      </c>
      <c r="BA265" s="609" t="str">
        <f t="shared" si="57"/>
        <v/>
      </c>
      <c r="BB265" s="609" t="str">
        <f t="shared" si="57"/>
        <v/>
      </c>
      <c r="BC265" s="609" t="str">
        <f t="shared" si="57"/>
        <v/>
      </c>
      <c r="BD265" s="609" t="str">
        <f t="shared" si="57"/>
        <v/>
      </c>
      <c r="BE265" s="609" t="str">
        <f t="shared" si="57"/>
        <v/>
      </c>
      <c r="BF265" s="609" t="str">
        <f t="shared" si="57"/>
        <v/>
      </c>
      <c r="BG265" s="609" t="str">
        <f t="shared" si="57"/>
        <v/>
      </c>
    </row>
    <row r="266" spans="2:59" x14ac:dyDescent="0.25">
      <c r="B266" s="654">
        <v>260</v>
      </c>
      <c r="C266" s="654"/>
      <c r="D266" s="654"/>
      <c r="E266" s="655"/>
      <c r="F266" s="654"/>
      <c r="H266" s="609" t="str">
        <f t="shared" si="56"/>
        <v/>
      </c>
      <c r="I266" s="609" t="str">
        <f t="shared" si="57"/>
        <v/>
      </c>
      <c r="J266" s="609" t="str">
        <f t="shared" si="57"/>
        <v/>
      </c>
      <c r="K266" s="609" t="str">
        <f t="shared" si="57"/>
        <v/>
      </c>
      <c r="L266" s="609" t="str">
        <f t="shared" si="57"/>
        <v/>
      </c>
      <c r="M266" s="609" t="str">
        <f t="shared" si="57"/>
        <v/>
      </c>
      <c r="N266" s="609" t="str">
        <f t="shared" si="57"/>
        <v/>
      </c>
      <c r="O266" s="609" t="str">
        <f t="shared" si="57"/>
        <v/>
      </c>
      <c r="P266" s="609" t="str">
        <f t="shared" si="57"/>
        <v/>
      </c>
      <c r="Q266" s="609" t="str">
        <f t="shared" si="57"/>
        <v/>
      </c>
      <c r="R266" s="609" t="str">
        <f t="shared" si="57"/>
        <v/>
      </c>
      <c r="S266" s="609" t="str">
        <f t="shared" si="57"/>
        <v/>
      </c>
      <c r="T266" s="609" t="str">
        <f t="shared" si="57"/>
        <v/>
      </c>
      <c r="U266" s="609" t="str">
        <f t="shared" si="57"/>
        <v/>
      </c>
      <c r="V266" s="609" t="str">
        <f t="shared" si="57"/>
        <v/>
      </c>
      <c r="W266" s="609" t="str">
        <f t="shared" si="57"/>
        <v/>
      </c>
      <c r="X266" s="609" t="str">
        <f t="shared" si="57"/>
        <v/>
      </c>
      <c r="Y266" s="609" t="str">
        <f t="shared" si="57"/>
        <v/>
      </c>
      <c r="Z266" s="609" t="str">
        <f t="shared" si="57"/>
        <v/>
      </c>
      <c r="AA266" s="609" t="str">
        <f t="shared" si="57"/>
        <v/>
      </c>
      <c r="AB266" s="609" t="str">
        <f t="shared" si="57"/>
        <v/>
      </c>
      <c r="AC266" s="609" t="str">
        <f t="shared" si="57"/>
        <v/>
      </c>
      <c r="AD266" s="609" t="str">
        <f t="shared" si="57"/>
        <v/>
      </c>
      <c r="AE266" s="609" t="str">
        <f t="shared" si="57"/>
        <v/>
      </c>
      <c r="AF266" s="609" t="str">
        <f t="shared" si="57"/>
        <v/>
      </c>
      <c r="AG266" s="609" t="str">
        <f t="shared" si="57"/>
        <v/>
      </c>
      <c r="AH266" s="609" t="str">
        <f t="shared" si="57"/>
        <v/>
      </c>
      <c r="AI266" s="609" t="str">
        <f t="shared" si="57"/>
        <v/>
      </c>
      <c r="AJ266" s="609" t="str">
        <f t="shared" si="57"/>
        <v/>
      </c>
      <c r="AK266" s="609" t="str">
        <f t="shared" si="57"/>
        <v/>
      </c>
      <c r="AL266" s="609" t="str">
        <f t="shared" si="57"/>
        <v/>
      </c>
      <c r="AM266" s="609" t="str">
        <f t="shared" si="57"/>
        <v/>
      </c>
      <c r="AN266" s="609" t="str">
        <f t="shared" si="57"/>
        <v/>
      </c>
      <c r="AO266" s="609" t="str">
        <f t="shared" si="57"/>
        <v/>
      </c>
      <c r="AP266" s="609" t="str">
        <f t="shared" si="57"/>
        <v/>
      </c>
      <c r="AQ266" s="609" t="str">
        <f t="shared" si="57"/>
        <v/>
      </c>
      <c r="AR266" s="609" t="str">
        <f t="shared" si="57"/>
        <v/>
      </c>
      <c r="AS266" s="609" t="str">
        <f t="shared" si="57"/>
        <v/>
      </c>
      <c r="AT266" s="609" t="str">
        <f t="shared" si="57"/>
        <v/>
      </c>
      <c r="AU266" s="609" t="str">
        <f t="shared" si="57"/>
        <v/>
      </c>
      <c r="AV266" s="609" t="str">
        <f t="shared" si="57"/>
        <v/>
      </c>
      <c r="AW266" s="609" t="str">
        <f t="shared" si="57"/>
        <v/>
      </c>
      <c r="AX266" s="609" t="str">
        <f t="shared" si="57"/>
        <v/>
      </c>
      <c r="AY266" s="609" t="str">
        <f t="shared" si="57"/>
        <v/>
      </c>
      <c r="AZ266" s="609" t="str">
        <f t="shared" si="57"/>
        <v/>
      </c>
      <c r="BA266" s="609" t="str">
        <f t="shared" si="57"/>
        <v/>
      </c>
      <c r="BB266" s="609" t="str">
        <f t="shared" si="57"/>
        <v/>
      </c>
      <c r="BC266" s="609" t="str">
        <f t="shared" si="57"/>
        <v/>
      </c>
      <c r="BD266" s="609" t="str">
        <f t="shared" si="57"/>
        <v/>
      </c>
      <c r="BE266" s="609" t="str">
        <f t="shared" si="57"/>
        <v/>
      </c>
      <c r="BF266" s="609" t="str">
        <f t="shared" si="57"/>
        <v/>
      </c>
      <c r="BG266" s="609" t="str">
        <f t="shared" si="57"/>
        <v/>
      </c>
    </row>
    <row r="267" spans="2:59" x14ac:dyDescent="0.25">
      <c r="B267" s="654">
        <v>261</v>
      </c>
      <c r="C267" s="654"/>
      <c r="D267" s="654"/>
      <c r="E267" s="655"/>
      <c r="F267" s="654"/>
      <c r="H267" s="609" t="str">
        <f t="shared" si="56"/>
        <v/>
      </c>
      <c r="I267" s="609" t="str">
        <f t="shared" si="57"/>
        <v/>
      </c>
      <c r="J267" s="609" t="str">
        <f t="shared" si="57"/>
        <v/>
      </c>
      <c r="K267" s="609" t="str">
        <f t="shared" si="57"/>
        <v/>
      </c>
      <c r="L267" s="609" t="str">
        <f t="shared" si="57"/>
        <v/>
      </c>
      <c r="M267" s="609" t="str">
        <f t="shared" si="57"/>
        <v/>
      </c>
      <c r="N267" s="609" t="str">
        <f t="shared" si="57"/>
        <v/>
      </c>
      <c r="O267" s="609" t="str">
        <f t="shared" si="57"/>
        <v/>
      </c>
      <c r="P267" s="609" t="str">
        <f t="shared" si="57"/>
        <v/>
      </c>
      <c r="Q267" s="609" t="str">
        <f t="shared" si="57"/>
        <v/>
      </c>
      <c r="R267" s="609" t="str">
        <f t="shared" si="57"/>
        <v/>
      </c>
      <c r="S267" s="609" t="str">
        <f t="shared" si="57"/>
        <v/>
      </c>
      <c r="T267" s="609" t="str">
        <f t="shared" si="57"/>
        <v/>
      </c>
      <c r="U267" s="609" t="str">
        <f t="shared" si="57"/>
        <v/>
      </c>
      <c r="V267" s="609" t="str">
        <f t="shared" si="57"/>
        <v/>
      </c>
      <c r="W267" s="609" t="str">
        <f t="shared" si="57"/>
        <v/>
      </c>
      <c r="X267" s="609" t="str">
        <f t="shared" si="57"/>
        <v/>
      </c>
      <c r="Y267" s="609" t="str">
        <f t="shared" si="57"/>
        <v/>
      </c>
      <c r="Z267" s="609" t="str">
        <f t="shared" si="57"/>
        <v/>
      </c>
      <c r="AA267" s="609" t="str">
        <f t="shared" si="57"/>
        <v/>
      </c>
      <c r="AB267" s="609" t="str">
        <f t="shared" si="57"/>
        <v/>
      </c>
      <c r="AC267" s="609" t="str">
        <f t="shared" si="57"/>
        <v/>
      </c>
      <c r="AD267" s="609" t="str">
        <f t="shared" si="57"/>
        <v/>
      </c>
      <c r="AE267" s="609" t="str">
        <f t="shared" si="57"/>
        <v/>
      </c>
      <c r="AF267" s="609" t="str">
        <f t="shared" si="57"/>
        <v/>
      </c>
      <c r="AG267" s="609" t="str">
        <f t="shared" si="57"/>
        <v/>
      </c>
      <c r="AH267" s="609" t="str">
        <f t="shared" si="57"/>
        <v/>
      </c>
      <c r="AI267" s="609" t="str">
        <f t="shared" si="57"/>
        <v/>
      </c>
      <c r="AJ267" s="609" t="str">
        <f t="shared" si="57"/>
        <v/>
      </c>
      <c r="AK267" s="609" t="str">
        <f t="shared" si="57"/>
        <v/>
      </c>
      <c r="AL267" s="609" t="str">
        <f t="shared" si="57"/>
        <v/>
      </c>
      <c r="AM267" s="609" t="str">
        <f t="shared" si="57"/>
        <v/>
      </c>
      <c r="AN267" s="609" t="str">
        <f t="shared" si="57"/>
        <v/>
      </c>
      <c r="AO267" s="609" t="str">
        <f t="shared" si="57"/>
        <v/>
      </c>
      <c r="AP267" s="609" t="str">
        <f t="shared" si="57"/>
        <v/>
      </c>
      <c r="AQ267" s="609" t="str">
        <f t="shared" si="57"/>
        <v/>
      </c>
      <c r="AR267" s="609" t="str">
        <f t="shared" si="57"/>
        <v/>
      </c>
      <c r="AS267" s="609" t="str">
        <f t="shared" si="57"/>
        <v/>
      </c>
      <c r="AT267" s="609" t="str">
        <f t="shared" si="57"/>
        <v/>
      </c>
      <c r="AU267" s="609" t="str">
        <f t="shared" si="57"/>
        <v/>
      </c>
      <c r="AV267" s="609" t="str">
        <f t="shared" si="57"/>
        <v/>
      </c>
      <c r="AW267" s="609" t="str">
        <f t="shared" si="57"/>
        <v/>
      </c>
      <c r="AX267" s="609" t="str">
        <f t="shared" si="57"/>
        <v/>
      </c>
      <c r="AY267" s="609" t="str">
        <f t="shared" si="57"/>
        <v/>
      </c>
      <c r="AZ267" s="609" t="str">
        <f t="shared" si="57"/>
        <v/>
      </c>
      <c r="BA267" s="609" t="str">
        <f t="shared" si="57"/>
        <v/>
      </c>
      <c r="BB267" s="609" t="str">
        <f t="shared" si="57"/>
        <v/>
      </c>
      <c r="BC267" s="609" t="str">
        <f t="shared" si="57"/>
        <v/>
      </c>
      <c r="BD267" s="609" t="str">
        <f t="shared" si="57"/>
        <v/>
      </c>
      <c r="BE267" s="609" t="str">
        <f t="shared" si="57"/>
        <v/>
      </c>
      <c r="BF267" s="609" t="str">
        <f t="shared" si="57"/>
        <v/>
      </c>
      <c r="BG267" s="609" t="str">
        <f t="shared" si="57"/>
        <v/>
      </c>
    </row>
    <row r="268" spans="2:59" x14ac:dyDescent="0.25">
      <c r="B268" s="654">
        <v>262</v>
      </c>
      <c r="C268" s="654"/>
      <c r="D268" s="654"/>
      <c r="E268" s="655"/>
      <c r="F268" s="654"/>
      <c r="H268" s="609" t="str">
        <f t="shared" si="56"/>
        <v/>
      </c>
      <c r="I268" s="609" t="str">
        <f t="shared" si="57"/>
        <v/>
      </c>
      <c r="J268" s="609" t="str">
        <f t="shared" si="57"/>
        <v/>
      </c>
      <c r="K268" s="609" t="str">
        <f t="shared" si="57"/>
        <v/>
      </c>
      <c r="L268" s="609" t="str">
        <f t="shared" si="57"/>
        <v/>
      </c>
      <c r="M268" s="609" t="str">
        <f t="shared" si="57"/>
        <v/>
      </c>
      <c r="N268" s="609" t="str">
        <f t="shared" si="57"/>
        <v/>
      </c>
      <c r="O268" s="609" t="str">
        <f t="shared" si="57"/>
        <v/>
      </c>
      <c r="P268" s="609" t="str">
        <f t="shared" si="57"/>
        <v/>
      </c>
      <c r="Q268" s="609" t="str">
        <f t="shared" si="57"/>
        <v/>
      </c>
      <c r="R268" s="609" t="str">
        <f t="shared" si="57"/>
        <v/>
      </c>
      <c r="S268" s="609" t="str">
        <f t="shared" si="57"/>
        <v/>
      </c>
      <c r="T268" s="609" t="str">
        <f t="shared" si="57"/>
        <v/>
      </c>
      <c r="U268" s="609" t="str">
        <f t="shared" si="57"/>
        <v/>
      </c>
      <c r="V268" s="609" t="str">
        <f t="shared" si="57"/>
        <v/>
      </c>
      <c r="W268" s="609" t="str">
        <f t="shared" si="57"/>
        <v/>
      </c>
      <c r="X268" s="609" t="str">
        <f t="shared" si="57"/>
        <v/>
      </c>
      <c r="Y268" s="609" t="str">
        <f t="shared" si="57"/>
        <v/>
      </c>
      <c r="Z268" s="609" t="str">
        <f t="shared" si="57"/>
        <v/>
      </c>
      <c r="AA268" s="609" t="str">
        <f t="shared" si="57"/>
        <v/>
      </c>
      <c r="AB268" s="609" t="str">
        <f t="shared" si="57"/>
        <v/>
      </c>
      <c r="AC268" s="609" t="str">
        <f t="shared" si="57"/>
        <v/>
      </c>
      <c r="AD268" s="609" t="str">
        <f t="shared" si="57"/>
        <v/>
      </c>
      <c r="AE268" s="609" t="str">
        <f t="shared" si="57"/>
        <v/>
      </c>
      <c r="AF268" s="609" t="str">
        <f t="shared" si="57"/>
        <v/>
      </c>
      <c r="AG268" s="609" t="str">
        <f t="shared" si="57"/>
        <v/>
      </c>
      <c r="AH268" s="609" t="str">
        <f t="shared" si="57"/>
        <v/>
      </c>
      <c r="AI268" s="609" t="str">
        <f t="shared" si="57"/>
        <v/>
      </c>
      <c r="AJ268" s="609" t="str">
        <f t="shared" si="57"/>
        <v/>
      </c>
      <c r="AK268" s="609" t="str">
        <f t="shared" si="57"/>
        <v/>
      </c>
      <c r="AL268" s="609" t="str">
        <f t="shared" si="57"/>
        <v/>
      </c>
      <c r="AM268" s="609" t="str">
        <f t="shared" si="57"/>
        <v/>
      </c>
      <c r="AN268" s="609" t="str">
        <f t="shared" si="57"/>
        <v/>
      </c>
      <c r="AO268" s="609" t="str">
        <f t="shared" si="57"/>
        <v/>
      </c>
      <c r="AP268" s="609" t="str">
        <f t="shared" si="57"/>
        <v/>
      </c>
      <c r="AQ268" s="609" t="str">
        <f t="shared" si="57"/>
        <v/>
      </c>
      <c r="AR268" s="609" t="str">
        <f t="shared" si="57"/>
        <v/>
      </c>
      <c r="AS268" s="609" t="str">
        <f t="shared" si="57"/>
        <v/>
      </c>
      <c r="AT268" s="609" t="str">
        <f t="shared" si="57"/>
        <v/>
      </c>
      <c r="AU268" s="609" t="str">
        <f t="shared" si="57"/>
        <v/>
      </c>
      <c r="AV268" s="609" t="str">
        <f t="shared" si="57"/>
        <v/>
      </c>
      <c r="AW268" s="609" t="str">
        <f t="shared" si="57"/>
        <v/>
      </c>
      <c r="AX268" s="609" t="str">
        <f t="shared" si="57"/>
        <v/>
      </c>
      <c r="AY268" s="609" t="str">
        <f t="shared" si="57"/>
        <v/>
      </c>
      <c r="AZ268" s="609" t="str">
        <f t="shared" si="57"/>
        <v/>
      </c>
      <c r="BA268" s="609" t="str">
        <f t="shared" si="57"/>
        <v/>
      </c>
      <c r="BB268" s="609" t="str">
        <f t="shared" si="57"/>
        <v/>
      </c>
      <c r="BC268" s="609" t="str">
        <f t="shared" si="57"/>
        <v/>
      </c>
      <c r="BD268" s="609" t="str">
        <f t="shared" si="57"/>
        <v/>
      </c>
      <c r="BE268" s="609" t="str">
        <f t="shared" si="57"/>
        <v/>
      </c>
      <c r="BF268" s="609" t="str">
        <f t="shared" si="57"/>
        <v/>
      </c>
      <c r="BG268" s="609" t="str">
        <f t="shared" si="57"/>
        <v/>
      </c>
    </row>
    <row r="269" spans="2:59" x14ac:dyDescent="0.25">
      <c r="B269" s="654">
        <v>263</v>
      </c>
      <c r="C269" s="654"/>
      <c r="D269" s="654"/>
      <c r="E269" s="655"/>
      <c r="F269" s="654"/>
      <c r="H269" s="609" t="str">
        <f t="shared" si="56"/>
        <v/>
      </c>
      <c r="I269" s="609" t="str">
        <f t="shared" si="57"/>
        <v/>
      </c>
      <c r="J269" s="609" t="str">
        <f t="shared" si="57"/>
        <v/>
      </c>
      <c r="K269" s="609" t="str">
        <f t="shared" si="57"/>
        <v/>
      </c>
      <c r="L269" s="609" t="str">
        <f t="shared" si="57"/>
        <v/>
      </c>
      <c r="M269" s="609" t="str">
        <f t="shared" si="57"/>
        <v/>
      </c>
      <c r="N269" s="609" t="str">
        <f t="shared" si="57"/>
        <v/>
      </c>
      <c r="O269" s="609" t="str">
        <f t="shared" si="57"/>
        <v/>
      </c>
      <c r="P269" s="609" t="str">
        <f t="shared" si="57"/>
        <v/>
      </c>
      <c r="Q269" s="609" t="str">
        <f t="shared" si="57"/>
        <v/>
      </c>
      <c r="R269" s="609" t="str">
        <f t="shared" si="57"/>
        <v/>
      </c>
      <c r="S269" s="609" t="str">
        <f t="shared" si="57"/>
        <v/>
      </c>
      <c r="T269" s="609" t="str">
        <f t="shared" si="57"/>
        <v/>
      </c>
      <c r="U269" s="609" t="str">
        <f t="shared" si="57"/>
        <v/>
      </c>
      <c r="V269" s="609" t="str">
        <f t="shared" si="57"/>
        <v/>
      </c>
      <c r="W269" s="609" t="str">
        <f t="shared" si="57"/>
        <v/>
      </c>
      <c r="X269" s="609" t="str">
        <f t="shared" si="57"/>
        <v/>
      </c>
      <c r="Y269" s="609" t="str">
        <f t="shared" si="57"/>
        <v/>
      </c>
      <c r="Z269" s="609" t="str">
        <f t="shared" si="57"/>
        <v/>
      </c>
      <c r="AA269" s="609" t="str">
        <f t="shared" si="57"/>
        <v/>
      </c>
      <c r="AB269" s="609" t="str">
        <f t="shared" si="57"/>
        <v/>
      </c>
      <c r="AC269" s="609" t="str">
        <f t="shared" si="57"/>
        <v/>
      </c>
      <c r="AD269" s="609" t="str">
        <f t="shared" si="57"/>
        <v/>
      </c>
      <c r="AE269" s="609" t="str">
        <f t="shared" si="57"/>
        <v/>
      </c>
      <c r="AF269" s="609" t="str">
        <f t="shared" si="57"/>
        <v/>
      </c>
      <c r="AG269" s="609" t="str">
        <f t="shared" si="57"/>
        <v/>
      </c>
      <c r="AH269" s="609" t="str">
        <f t="shared" si="57"/>
        <v/>
      </c>
      <c r="AI269" s="609" t="str">
        <f t="shared" si="57"/>
        <v/>
      </c>
      <c r="AJ269" s="609" t="str">
        <f t="shared" si="57"/>
        <v/>
      </c>
      <c r="AK269" s="609" t="str">
        <f t="shared" si="57"/>
        <v/>
      </c>
      <c r="AL269" s="609" t="str">
        <f t="shared" si="57"/>
        <v/>
      </c>
      <c r="AM269" s="609" t="str">
        <f t="shared" si="57"/>
        <v/>
      </c>
      <c r="AN269" s="609" t="str">
        <f t="shared" si="57"/>
        <v/>
      </c>
      <c r="AO269" s="609" t="str">
        <f t="shared" si="57"/>
        <v/>
      </c>
      <c r="AP269" s="609" t="str">
        <f t="shared" si="57"/>
        <v/>
      </c>
      <c r="AQ269" s="609" t="str">
        <f t="shared" si="57"/>
        <v/>
      </c>
      <c r="AR269" s="609" t="str">
        <f t="shared" si="57"/>
        <v/>
      </c>
      <c r="AS269" s="609" t="str">
        <f t="shared" si="57"/>
        <v/>
      </c>
      <c r="AT269" s="609" t="str">
        <f t="shared" si="57"/>
        <v/>
      </c>
      <c r="AU269" s="609" t="str">
        <f t="shared" si="57"/>
        <v/>
      </c>
      <c r="AV269" s="609" t="str">
        <f t="shared" si="57"/>
        <v/>
      </c>
      <c r="AW269" s="609" t="str">
        <f t="shared" si="57"/>
        <v/>
      </c>
      <c r="AX269" s="609" t="str">
        <f t="shared" si="57"/>
        <v/>
      </c>
      <c r="AY269" s="609" t="str">
        <f t="shared" si="57"/>
        <v/>
      </c>
      <c r="AZ269" s="609" t="str">
        <f t="shared" si="57"/>
        <v/>
      </c>
      <c r="BA269" s="609" t="str">
        <f t="shared" si="57"/>
        <v/>
      </c>
      <c r="BB269" s="609" t="str">
        <f t="shared" si="57"/>
        <v/>
      </c>
      <c r="BC269" s="609" t="str">
        <f t="shared" si="57"/>
        <v/>
      </c>
      <c r="BD269" s="609" t="str">
        <f t="shared" si="57"/>
        <v/>
      </c>
      <c r="BE269" s="609" t="str">
        <f t="shared" si="57"/>
        <v/>
      </c>
      <c r="BF269" s="609" t="str">
        <f t="shared" si="57"/>
        <v/>
      </c>
      <c r="BG269" s="609" t="str">
        <f t="shared" si="57"/>
        <v/>
      </c>
    </row>
    <row r="270" spans="2:59" x14ac:dyDescent="0.25">
      <c r="B270" s="654">
        <v>264</v>
      </c>
      <c r="C270" s="654"/>
      <c r="D270" s="654"/>
      <c r="E270" s="655"/>
      <c r="F270" s="654"/>
      <c r="H270" s="609" t="str">
        <f t="shared" si="56"/>
        <v/>
      </c>
      <c r="I270" s="609" t="str">
        <f t="shared" ref="I270:BG274" si="58">IF($D270=I$6,$B270&amp;", ","")</f>
        <v/>
      </c>
      <c r="J270" s="609" t="str">
        <f t="shared" si="58"/>
        <v/>
      </c>
      <c r="K270" s="609" t="str">
        <f t="shared" si="58"/>
        <v/>
      </c>
      <c r="L270" s="609" t="str">
        <f t="shared" si="58"/>
        <v/>
      </c>
      <c r="M270" s="609" t="str">
        <f t="shared" si="58"/>
        <v/>
      </c>
      <c r="N270" s="609" t="str">
        <f t="shared" si="58"/>
        <v/>
      </c>
      <c r="O270" s="609" t="str">
        <f t="shared" si="58"/>
        <v/>
      </c>
      <c r="P270" s="609" t="str">
        <f t="shared" si="58"/>
        <v/>
      </c>
      <c r="Q270" s="609" t="str">
        <f t="shared" si="58"/>
        <v/>
      </c>
      <c r="R270" s="609" t="str">
        <f t="shared" si="58"/>
        <v/>
      </c>
      <c r="S270" s="609" t="str">
        <f t="shared" si="58"/>
        <v/>
      </c>
      <c r="T270" s="609" t="str">
        <f t="shared" si="58"/>
        <v/>
      </c>
      <c r="U270" s="609" t="str">
        <f t="shared" si="58"/>
        <v/>
      </c>
      <c r="V270" s="609" t="str">
        <f t="shared" si="58"/>
        <v/>
      </c>
      <c r="W270" s="609" t="str">
        <f t="shared" si="58"/>
        <v/>
      </c>
      <c r="X270" s="609" t="str">
        <f t="shared" si="58"/>
        <v/>
      </c>
      <c r="Y270" s="609" t="str">
        <f t="shared" si="58"/>
        <v/>
      </c>
      <c r="Z270" s="609" t="str">
        <f t="shared" si="58"/>
        <v/>
      </c>
      <c r="AA270" s="609" t="str">
        <f t="shared" si="58"/>
        <v/>
      </c>
      <c r="AB270" s="609" t="str">
        <f t="shared" si="58"/>
        <v/>
      </c>
      <c r="AC270" s="609" t="str">
        <f t="shared" si="58"/>
        <v/>
      </c>
      <c r="AD270" s="609" t="str">
        <f t="shared" si="58"/>
        <v/>
      </c>
      <c r="AE270" s="609" t="str">
        <f t="shared" si="58"/>
        <v/>
      </c>
      <c r="AF270" s="609" t="str">
        <f t="shared" si="58"/>
        <v/>
      </c>
      <c r="AG270" s="609" t="str">
        <f t="shared" si="58"/>
        <v/>
      </c>
      <c r="AH270" s="609" t="str">
        <f t="shared" si="58"/>
        <v/>
      </c>
      <c r="AI270" s="609" t="str">
        <f t="shared" si="58"/>
        <v/>
      </c>
      <c r="AJ270" s="609" t="str">
        <f t="shared" si="58"/>
        <v/>
      </c>
      <c r="AK270" s="609" t="str">
        <f t="shared" si="58"/>
        <v/>
      </c>
      <c r="AL270" s="609" t="str">
        <f t="shared" si="58"/>
        <v/>
      </c>
      <c r="AM270" s="609" t="str">
        <f t="shared" si="58"/>
        <v/>
      </c>
      <c r="AN270" s="609" t="str">
        <f t="shared" si="58"/>
        <v/>
      </c>
      <c r="AO270" s="609" t="str">
        <f t="shared" si="58"/>
        <v/>
      </c>
      <c r="AP270" s="609" t="str">
        <f t="shared" si="58"/>
        <v/>
      </c>
      <c r="AQ270" s="609" t="str">
        <f t="shared" si="58"/>
        <v/>
      </c>
      <c r="AR270" s="609" t="str">
        <f t="shared" si="58"/>
        <v/>
      </c>
      <c r="AS270" s="609" t="str">
        <f t="shared" si="58"/>
        <v/>
      </c>
      <c r="AT270" s="609" t="str">
        <f t="shared" si="58"/>
        <v/>
      </c>
      <c r="AU270" s="609" t="str">
        <f t="shared" si="58"/>
        <v/>
      </c>
      <c r="AV270" s="609" t="str">
        <f t="shared" si="58"/>
        <v/>
      </c>
      <c r="AW270" s="609" t="str">
        <f t="shared" si="58"/>
        <v/>
      </c>
      <c r="AX270" s="609" t="str">
        <f t="shared" si="58"/>
        <v/>
      </c>
      <c r="AY270" s="609" t="str">
        <f t="shared" si="58"/>
        <v/>
      </c>
      <c r="AZ270" s="609" t="str">
        <f t="shared" si="58"/>
        <v/>
      </c>
      <c r="BA270" s="609" t="str">
        <f t="shared" si="58"/>
        <v/>
      </c>
      <c r="BB270" s="609" t="str">
        <f t="shared" si="58"/>
        <v/>
      </c>
      <c r="BC270" s="609" t="str">
        <f t="shared" si="58"/>
        <v/>
      </c>
      <c r="BD270" s="609" t="str">
        <f t="shared" si="58"/>
        <v/>
      </c>
      <c r="BE270" s="609" t="str">
        <f t="shared" si="58"/>
        <v/>
      </c>
      <c r="BF270" s="609" t="str">
        <f t="shared" si="58"/>
        <v/>
      </c>
      <c r="BG270" s="609" t="str">
        <f t="shared" si="58"/>
        <v/>
      </c>
    </row>
    <row r="271" spans="2:59" x14ac:dyDescent="0.25">
      <c r="B271" s="654">
        <v>265</v>
      </c>
      <c r="C271" s="654"/>
      <c r="D271" s="654"/>
      <c r="E271" s="655"/>
      <c r="F271" s="654"/>
      <c r="H271" s="609" t="str">
        <f t="shared" si="56"/>
        <v/>
      </c>
      <c r="I271" s="609" t="str">
        <f t="shared" si="58"/>
        <v/>
      </c>
      <c r="J271" s="609" t="str">
        <f t="shared" si="58"/>
        <v/>
      </c>
      <c r="K271" s="609" t="str">
        <f t="shared" si="58"/>
        <v/>
      </c>
      <c r="L271" s="609" t="str">
        <f t="shared" si="58"/>
        <v/>
      </c>
      <c r="M271" s="609" t="str">
        <f t="shared" si="58"/>
        <v/>
      </c>
      <c r="N271" s="609" t="str">
        <f t="shared" si="58"/>
        <v/>
      </c>
      <c r="O271" s="609" t="str">
        <f t="shared" si="58"/>
        <v/>
      </c>
      <c r="P271" s="609" t="str">
        <f t="shared" si="58"/>
        <v/>
      </c>
      <c r="Q271" s="609" t="str">
        <f t="shared" si="58"/>
        <v/>
      </c>
      <c r="R271" s="609" t="str">
        <f t="shared" si="58"/>
        <v/>
      </c>
      <c r="S271" s="609" t="str">
        <f t="shared" si="58"/>
        <v/>
      </c>
      <c r="T271" s="609" t="str">
        <f t="shared" si="58"/>
        <v/>
      </c>
      <c r="U271" s="609" t="str">
        <f t="shared" si="58"/>
        <v/>
      </c>
      <c r="V271" s="609" t="str">
        <f t="shared" si="58"/>
        <v/>
      </c>
      <c r="W271" s="609" t="str">
        <f t="shared" si="58"/>
        <v/>
      </c>
      <c r="X271" s="609" t="str">
        <f t="shared" si="58"/>
        <v/>
      </c>
      <c r="Y271" s="609" t="str">
        <f t="shared" si="58"/>
        <v/>
      </c>
      <c r="Z271" s="609" t="str">
        <f t="shared" si="58"/>
        <v/>
      </c>
      <c r="AA271" s="609" t="str">
        <f t="shared" si="58"/>
        <v/>
      </c>
      <c r="AB271" s="609" t="str">
        <f t="shared" si="58"/>
        <v/>
      </c>
      <c r="AC271" s="609" t="str">
        <f t="shared" si="58"/>
        <v/>
      </c>
      <c r="AD271" s="609" t="str">
        <f t="shared" si="58"/>
        <v/>
      </c>
      <c r="AE271" s="609" t="str">
        <f t="shared" si="58"/>
        <v/>
      </c>
      <c r="AF271" s="609" t="str">
        <f t="shared" si="58"/>
        <v/>
      </c>
      <c r="AG271" s="609" t="str">
        <f t="shared" si="58"/>
        <v/>
      </c>
      <c r="AH271" s="609" t="str">
        <f t="shared" si="58"/>
        <v/>
      </c>
      <c r="AI271" s="609" t="str">
        <f t="shared" si="58"/>
        <v/>
      </c>
      <c r="AJ271" s="609" t="str">
        <f t="shared" si="58"/>
        <v/>
      </c>
      <c r="AK271" s="609" t="str">
        <f t="shared" si="58"/>
        <v/>
      </c>
      <c r="AL271" s="609" t="str">
        <f t="shared" si="58"/>
        <v/>
      </c>
      <c r="AM271" s="609" t="str">
        <f t="shared" si="58"/>
        <v/>
      </c>
      <c r="AN271" s="609" t="str">
        <f t="shared" si="58"/>
        <v/>
      </c>
      <c r="AO271" s="609" t="str">
        <f t="shared" si="58"/>
        <v/>
      </c>
      <c r="AP271" s="609" t="str">
        <f t="shared" si="58"/>
        <v/>
      </c>
      <c r="AQ271" s="609" t="str">
        <f t="shared" si="58"/>
        <v/>
      </c>
      <c r="AR271" s="609" t="str">
        <f t="shared" si="58"/>
        <v/>
      </c>
      <c r="AS271" s="609" t="str">
        <f t="shared" si="58"/>
        <v/>
      </c>
      <c r="AT271" s="609" t="str">
        <f t="shared" si="58"/>
        <v/>
      </c>
      <c r="AU271" s="609" t="str">
        <f t="shared" si="58"/>
        <v/>
      </c>
      <c r="AV271" s="609" t="str">
        <f t="shared" si="58"/>
        <v/>
      </c>
      <c r="AW271" s="609" t="str">
        <f t="shared" si="58"/>
        <v/>
      </c>
      <c r="AX271" s="609" t="str">
        <f t="shared" si="58"/>
        <v/>
      </c>
      <c r="AY271" s="609" t="str">
        <f t="shared" si="58"/>
        <v/>
      </c>
      <c r="AZ271" s="609" t="str">
        <f t="shared" si="58"/>
        <v/>
      </c>
      <c r="BA271" s="609" t="str">
        <f t="shared" si="58"/>
        <v/>
      </c>
      <c r="BB271" s="609" t="str">
        <f t="shared" si="58"/>
        <v/>
      </c>
      <c r="BC271" s="609" t="str">
        <f t="shared" si="58"/>
        <v/>
      </c>
      <c r="BD271" s="609" t="str">
        <f t="shared" si="58"/>
        <v/>
      </c>
      <c r="BE271" s="609" t="str">
        <f t="shared" si="58"/>
        <v/>
      </c>
      <c r="BF271" s="609" t="str">
        <f t="shared" si="58"/>
        <v/>
      </c>
      <c r="BG271" s="609" t="str">
        <f t="shared" si="58"/>
        <v/>
      </c>
    </row>
    <row r="272" spans="2:59" x14ac:dyDescent="0.25">
      <c r="B272" s="654">
        <v>266</v>
      </c>
      <c r="C272" s="654"/>
      <c r="D272" s="654"/>
      <c r="E272" s="655"/>
      <c r="F272" s="654"/>
      <c r="H272" s="609" t="str">
        <f t="shared" si="56"/>
        <v/>
      </c>
      <c r="I272" s="609" t="str">
        <f t="shared" si="58"/>
        <v/>
      </c>
      <c r="J272" s="609" t="str">
        <f t="shared" si="58"/>
        <v/>
      </c>
      <c r="K272" s="609" t="str">
        <f t="shared" si="58"/>
        <v/>
      </c>
      <c r="L272" s="609" t="str">
        <f t="shared" si="58"/>
        <v/>
      </c>
      <c r="M272" s="609" t="str">
        <f t="shared" si="58"/>
        <v/>
      </c>
      <c r="N272" s="609" t="str">
        <f t="shared" si="58"/>
        <v/>
      </c>
      <c r="O272" s="609" t="str">
        <f t="shared" si="58"/>
        <v/>
      </c>
      <c r="P272" s="609" t="str">
        <f t="shared" si="58"/>
        <v/>
      </c>
      <c r="Q272" s="609" t="str">
        <f t="shared" si="58"/>
        <v/>
      </c>
      <c r="R272" s="609" t="str">
        <f t="shared" si="58"/>
        <v/>
      </c>
      <c r="S272" s="609" t="str">
        <f t="shared" si="58"/>
        <v/>
      </c>
      <c r="T272" s="609" t="str">
        <f t="shared" si="58"/>
        <v/>
      </c>
      <c r="U272" s="609" t="str">
        <f t="shared" si="58"/>
        <v/>
      </c>
      <c r="V272" s="609" t="str">
        <f t="shared" si="58"/>
        <v/>
      </c>
      <c r="W272" s="609" t="str">
        <f t="shared" si="58"/>
        <v/>
      </c>
      <c r="X272" s="609" t="str">
        <f t="shared" si="58"/>
        <v/>
      </c>
      <c r="Y272" s="609" t="str">
        <f t="shared" si="58"/>
        <v/>
      </c>
      <c r="Z272" s="609" t="str">
        <f t="shared" si="58"/>
        <v/>
      </c>
      <c r="AA272" s="609" t="str">
        <f t="shared" si="58"/>
        <v/>
      </c>
      <c r="AB272" s="609" t="str">
        <f t="shared" si="58"/>
        <v/>
      </c>
      <c r="AC272" s="609" t="str">
        <f t="shared" si="58"/>
        <v/>
      </c>
      <c r="AD272" s="609" t="str">
        <f t="shared" si="58"/>
        <v/>
      </c>
      <c r="AE272" s="609" t="str">
        <f t="shared" si="58"/>
        <v/>
      </c>
      <c r="AF272" s="609" t="str">
        <f t="shared" si="58"/>
        <v/>
      </c>
      <c r="AG272" s="609" t="str">
        <f t="shared" si="58"/>
        <v/>
      </c>
      <c r="AH272" s="609" t="str">
        <f t="shared" si="58"/>
        <v/>
      </c>
      <c r="AI272" s="609" t="str">
        <f t="shared" si="58"/>
        <v/>
      </c>
      <c r="AJ272" s="609" t="str">
        <f t="shared" si="58"/>
        <v/>
      </c>
      <c r="AK272" s="609" t="str">
        <f t="shared" si="58"/>
        <v/>
      </c>
      <c r="AL272" s="609" t="str">
        <f t="shared" si="58"/>
        <v/>
      </c>
      <c r="AM272" s="609" t="str">
        <f t="shared" si="58"/>
        <v/>
      </c>
      <c r="AN272" s="609" t="str">
        <f t="shared" si="58"/>
        <v/>
      </c>
      <c r="AO272" s="609" t="str">
        <f t="shared" si="58"/>
        <v/>
      </c>
      <c r="AP272" s="609" t="str">
        <f t="shared" si="58"/>
        <v/>
      </c>
      <c r="AQ272" s="609" t="str">
        <f t="shared" si="58"/>
        <v/>
      </c>
      <c r="AR272" s="609" t="str">
        <f t="shared" si="58"/>
        <v/>
      </c>
      <c r="AS272" s="609" t="str">
        <f t="shared" si="58"/>
        <v/>
      </c>
      <c r="AT272" s="609" t="str">
        <f t="shared" si="58"/>
        <v/>
      </c>
      <c r="AU272" s="609" t="str">
        <f t="shared" si="58"/>
        <v/>
      </c>
      <c r="AV272" s="609" t="str">
        <f t="shared" si="58"/>
        <v/>
      </c>
      <c r="AW272" s="609" t="str">
        <f t="shared" si="58"/>
        <v/>
      </c>
      <c r="AX272" s="609" t="str">
        <f t="shared" si="58"/>
        <v/>
      </c>
      <c r="AY272" s="609" t="str">
        <f t="shared" si="58"/>
        <v/>
      </c>
      <c r="AZ272" s="609" t="str">
        <f t="shared" si="58"/>
        <v/>
      </c>
      <c r="BA272" s="609" t="str">
        <f t="shared" si="58"/>
        <v/>
      </c>
      <c r="BB272" s="609" t="str">
        <f t="shared" si="58"/>
        <v/>
      </c>
      <c r="BC272" s="609" t="str">
        <f t="shared" si="58"/>
        <v/>
      </c>
      <c r="BD272" s="609" t="str">
        <f t="shared" si="58"/>
        <v/>
      </c>
      <c r="BE272" s="609" t="str">
        <f t="shared" si="58"/>
        <v/>
      </c>
      <c r="BF272" s="609" t="str">
        <f t="shared" si="58"/>
        <v/>
      </c>
      <c r="BG272" s="609" t="str">
        <f t="shared" si="58"/>
        <v/>
      </c>
    </row>
    <row r="273" spans="2:59" x14ac:dyDescent="0.25">
      <c r="B273" s="654">
        <v>267</v>
      </c>
      <c r="C273" s="654"/>
      <c r="D273" s="654"/>
      <c r="E273" s="655"/>
      <c r="F273" s="654"/>
      <c r="H273" s="609" t="str">
        <f t="shared" si="56"/>
        <v/>
      </c>
      <c r="I273" s="609" t="str">
        <f t="shared" si="58"/>
        <v/>
      </c>
      <c r="J273" s="609" t="str">
        <f t="shared" si="58"/>
        <v/>
      </c>
      <c r="K273" s="609" t="str">
        <f t="shared" si="58"/>
        <v/>
      </c>
      <c r="L273" s="609" t="str">
        <f t="shared" si="58"/>
        <v/>
      </c>
      <c r="M273" s="609" t="str">
        <f t="shared" si="58"/>
        <v/>
      </c>
      <c r="N273" s="609" t="str">
        <f t="shared" si="58"/>
        <v/>
      </c>
      <c r="O273" s="609" t="str">
        <f t="shared" si="58"/>
        <v/>
      </c>
      <c r="P273" s="609" t="str">
        <f t="shared" si="58"/>
        <v/>
      </c>
      <c r="Q273" s="609" t="str">
        <f t="shared" si="58"/>
        <v/>
      </c>
      <c r="R273" s="609" t="str">
        <f t="shared" si="58"/>
        <v/>
      </c>
      <c r="S273" s="609" t="str">
        <f t="shared" si="58"/>
        <v/>
      </c>
      <c r="T273" s="609" t="str">
        <f t="shared" si="58"/>
        <v/>
      </c>
      <c r="U273" s="609" t="str">
        <f t="shared" si="58"/>
        <v/>
      </c>
      <c r="V273" s="609" t="str">
        <f t="shared" si="58"/>
        <v/>
      </c>
      <c r="W273" s="609" t="str">
        <f t="shared" si="58"/>
        <v/>
      </c>
      <c r="X273" s="609" t="str">
        <f t="shared" si="58"/>
        <v/>
      </c>
      <c r="Y273" s="609" t="str">
        <f t="shared" si="58"/>
        <v/>
      </c>
      <c r="Z273" s="609" t="str">
        <f t="shared" si="58"/>
        <v/>
      </c>
      <c r="AA273" s="609" t="str">
        <f t="shared" si="58"/>
        <v/>
      </c>
      <c r="AB273" s="609" t="str">
        <f t="shared" si="58"/>
        <v/>
      </c>
      <c r="AC273" s="609" t="str">
        <f t="shared" si="58"/>
        <v/>
      </c>
      <c r="AD273" s="609" t="str">
        <f t="shared" si="58"/>
        <v/>
      </c>
      <c r="AE273" s="609" t="str">
        <f t="shared" si="58"/>
        <v/>
      </c>
      <c r="AF273" s="609" t="str">
        <f t="shared" si="58"/>
        <v/>
      </c>
      <c r="AG273" s="609" t="str">
        <f t="shared" si="58"/>
        <v/>
      </c>
      <c r="AH273" s="609" t="str">
        <f t="shared" si="58"/>
        <v/>
      </c>
      <c r="AI273" s="609" t="str">
        <f t="shared" si="58"/>
        <v/>
      </c>
      <c r="AJ273" s="609" t="str">
        <f t="shared" si="58"/>
        <v/>
      </c>
      <c r="AK273" s="609" t="str">
        <f t="shared" si="58"/>
        <v/>
      </c>
      <c r="AL273" s="609" t="str">
        <f t="shared" si="58"/>
        <v/>
      </c>
      <c r="AM273" s="609" t="str">
        <f t="shared" si="58"/>
        <v/>
      </c>
      <c r="AN273" s="609" t="str">
        <f t="shared" si="58"/>
        <v/>
      </c>
      <c r="AO273" s="609" t="str">
        <f t="shared" si="58"/>
        <v/>
      </c>
      <c r="AP273" s="609" t="str">
        <f t="shared" si="58"/>
        <v/>
      </c>
      <c r="AQ273" s="609" t="str">
        <f t="shared" si="58"/>
        <v/>
      </c>
      <c r="AR273" s="609" t="str">
        <f t="shared" si="58"/>
        <v/>
      </c>
      <c r="AS273" s="609" t="str">
        <f t="shared" si="58"/>
        <v/>
      </c>
      <c r="AT273" s="609" t="str">
        <f t="shared" si="58"/>
        <v/>
      </c>
      <c r="AU273" s="609" t="str">
        <f t="shared" si="58"/>
        <v/>
      </c>
      <c r="AV273" s="609" t="str">
        <f t="shared" si="58"/>
        <v/>
      </c>
      <c r="AW273" s="609" t="str">
        <f t="shared" si="58"/>
        <v/>
      </c>
      <c r="AX273" s="609" t="str">
        <f t="shared" si="58"/>
        <v/>
      </c>
      <c r="AY273" s="609" t="str">
        <f t="shared" si="58"/>
        <v/>
      </c>
      <c r="AZ273" s="609" t="str">
        <f t="shared" si="58"/>
        <v/>
      </c>
      <c r="BA273" s="609" t="str">
        <f t="shared" si="58"/>
        <v/>
      </c>
      <c r="BB273" s="609" t="str">
        <f t="shared" si="58"/>
        <v/>
      </c>
      <c r="BC273" s="609" t="str">
        <f t="shared" si="58"/>
        <v/>
      </c>
      <c r="BD273" s="609" t="str">
        <f t="shared" si="58"/>
        <v/>
      </c>
      <c r="BE273" s="609" t="str">
        <f t="shared" si="58"/>
        <v/>
      </c>
      <c r="BF273" s="609" t="str">
        <f t="shared" si="58"/>
        <v/>
      </c>
      <c r="BG273" s="609" t="str">
        <f t="shared" si="58"/>
        <v/>
      </c>
    </row>
    <row r="274" spans="2:59" x14ac:dyDescent="0.25">
      <c r="B274" s="654">
        <v>268</v>
      </c>
      <c r="C274" s="654"/>
      <c r="D274" s="654"/>
      <c r="E274" s="655"/>
      <c r="F274" s="654"/>
      <c r="H274" s="609" t="str">
        <f t="shared" si="56"/>
        <v/>
      </c>
      <c r="I274" s="609" t="str">
        <f t="shared" si="58"/>
        <v/>
      </c>
      <c r="J274" s="609" t="str">
        <f t="shared" si="58"/>
        <v/>
      </c>
      <c r="K274" s="609" t="str">
        <f t="shared" si="58"/>
        <v/>
      </c>
      <c r="L274" s="609" t="str">
        <f t="shared" si="58"/>
        <v/>
      </c>
      <c r="M274" s="609" t="str">
        <f t="shared" si="58"/>
        <v/>
      </c>
      <c r="N274" s="609" t="str">
        <f t="shared" si="58"/>
        <v/>
      </c>
      <c r="O274" s="609" t="str">
        <f t="shared" si="58"/>
        <v/>
      </c>
      <c r="P274" s="609" t="str">
        <f t="shared" si="58"/>
        <v/>
      </c>
      <c r="Q274" s="609" t="str">
        <f t="shared" si="58"/>
        <v/>
      </c>
      <c r="R274" s="609" t="str">
        <f t="shared" si="58"/>
        <v/>
      </c>
      <c r="S274" s="609" t="str">
        <f t="shared" si="58"/>
        <v/>
      </c>
      <c r="T274" s="609" t="str">
        <f t="shared" si="58"/>
        <v/>
      </c>
      <c r="U274" s="609" t="str">
        <f t="shared" si="58"/>
        <v/>
      </c>
      <c r="V274" s="609" t="str">
        <f t="shared" si="58"/>
        <v/>
      </c>
      <c r="W274" s="609" t="str">
        <f t="shared" si="58"/>
        <v/>
      </c>
      <c r="X274" s="609" t="str">
        <f t="shared" si="58"/>
        <v/>
      </c>
      <c r="Y274" s="609" t="str">
        <f t="shared" si="58"/>
        <v/>
      </c>
      <c r="Z274" s="609" t="str">
        <f t="shared" si="58"/>
        <v/>
      </c>
      <c r="AA274" s="609" t="str">
        <f t="shared" si="58"/>
        <v/>
      </c>
      <c r="AB274" s="609" t="str">
        <f t="shared" si="58"/>
        <v/>
      </c>
      <c r="AC274" s="609" t="str">
        <f t="shared" si="58"/>
        <v/>
      </c>
      <c r="AD274" s="609" t="str">
        <f t="shared" si="58"/>
        <v/>
      </c>
      <c r="AE274" s="609" t="str">
        <f t="shared" si="58"/>
        <v/>
      </c>
      <c r="AF274" s="609" t="str">
        <f t="shared" si="58"/>
        <v/>
      </c>
      <c r="AG274" s="609" t="str">
        <f t="shared" si="58"/>
        <v/>
      </c>
      <c r="AH274" s="609" t="str">
        <f t="shared" si="58"/>
        <v/>
      </c>
      <c r="AI274" s="609" t="str">
        <f t="shared" si="58"/>
        <v/>
      </c>
      <c r="AJ274" s="609" t="str">
        <f t="shared" si="58"/>
        <v/>
      </c>
      <c r="AK274" s="609" t="str">
        <f t="shared" si="58"/>
        <v/>
      </c>
      <c r="AL274" s="609" t="str">
        <f t="shared" si="58"/>
        <v/>
      </c>
      <c r="AM274" s="609" t="str">
        <f t="shared" si="58"/>
        <v/>
      </c>
      <c r="AN274" s="609" t="str">
        <f t="shared" si="58"/>
        <v/>
      </c>
      <c r="AO274" s="609" t="str">
        <f t="shared" si="58"/>
        <v/>
      </c>
      <c r="AP274" s="609" t="str">
        <f t="shared" si="58"/>
        <v/>
      </c>
      <c r="AQ274" s="609" t="str">
        <f t="shared" si="58"/>
        <v/>
      </c>
      <c r="AR274" s="609" t="str">
        <f t="shared" si="58"/>
        <v/>
      </c>
      <c r="AS274" s="609" t="str">
        <f t="shared" si="58"/>
        <v/>
      </c>
      <c r="AT274" s="609" t="str">
        <f t="shared" si="58"/>
        <v/>
      </c>
      <c r="AU274" s="609" t="str">
        <f t="shared" si="58"/>
        <v/>
      </c>
      <c r="AV274" s="609" t="str">
        <f t="shared" si="58"/>
        <v/>
      </c>
      <c r="AW274" s="609" t="str">
        <f t="shared" si="58"/>
        <v/>
      </c>
      <c r="AX274" s="609" t="str">
        <f t="shared" si="58"/>
        <v/>
      </c>
      <c r="AY274" s="609" t="str">
        <f t="shared" si="58"/>
        <v/>
      </c>
      <c r="AZ274" s="609" t="str">
        <f t="shared" si="58"/>
        <v/>
      </c>
      <c r="BA274" s="609" t="str">
        <f t="shared" si="58"/>
        <v/>
      </c>
      <c r="BB274" s="609" t="str">
        <f t="shared" si="58"/>
        <v/>
      </c>
      <c r="BC274" s="609" t="str">
        <f t="shared" si="58"/>
        <v/>
      </c>
      <c r="BD274" s="609" t="str">
        <f t="shared" si="58"/>
        <v/>
      </c>
      <c r="BE274" s="609" t="str">
        <f t="shared" si="58"/>
        <v/>
      </c>
      <c r="BF274" s="609" t="str">
        <f t="shared" si="58"/>
        <v/>
      </c>
      <c r="BG274" s="609" t="str">
        <f t="shared" si="58"/>
        <v/>
      </c>
    </row>
    <row r="275" spans="2:59" x14ac:dyDescent="0.25">
      <c r="B275" s="654">
        <v>269</v>
      </c>
      <c r="C275" s="654"/>
      <c r="D275" s="654"/>
      <c r="E275" s="655"/>
      <c r="F275" s="654"/>
      <c r="H275" s="609" t="str">
        <f t="shared" si="56"/>
        <v/>
      </c>
      <c r="I275" s="609" t="str">
        <f t="shared" ref="I275:BG279" si="59">IF($D275=I$6,$B275&amp;", ","")</f>
        <v/>
      </c>
      <c r="J275" s="609" t="str">
        <f t="shared" si="59"/>
        <v/>
      </c>
      <c r="K275" s="609" t="str">
        <f t="shared" si="59"/>
        <v/>
      </c>
      <c r="L275" s="609" t="str">
        <f t="shared" si="59"/>
        <v/>
      </c>
      <c r="M275" s="609" t="str">
        <f t="shared" si="59"/>
        <v/>
      </c>
      <c r="N275" s="609" t="str">
        <f t="shared" si="59"/>
        <v/>
      </c>
      <c r="O275" s="609" t="str">
        <f t="shared" si="59"/>
        <v/>
      </c>
      <c r="P275" s="609" t="str">
        <f t="shared" si="59"/>
        <v/>
      </c>
      <c r="Q275" s="609" t="str">
        <f t="shared" si="59"/>
        <v/>
      </c>
      <c r="R275" s="609" t="str">
        <f t="shared" si="59"/>
        <v/>
      </c>
      <c r="S275" s="609" t="str">
        <f t="shared" si="59"/>
        <v/>
      </c>
      <c r="T275" s="609" t="str">
        <f t="shared" si="59"/>
        <v/>
      </c>
      <c r="U275" s="609" t="str">
        <f t="shared" si="59"/>
        <v/>
      </c>
      <c r="V275" s="609" t="str">
        <f t="shared" si="59"/>
        <v/>
      </c>
      <c r="W275" s="609" t="str">
        <f t="shared" si="59"/>
        <v/>
      </c>
      <c r="X275" s="609" t="str">
        <f t="shared" si="59"/>
        <v/>
      </c>
      <c r="Y275" s="609" t="str">
        <f t="shared" si="59"/>
        <v/>
      </c>
      <c r="Z275" s="609" t="str">
        <f t="shared" si="59"/>
        <v/>
      </c>
      <c r="AA275" s="609" t="str">
        <f t="shared" si="59"/>
        <v/>
      </c>
      <c r="AB275" s="609" t="str">
        <f t="shared" si="59"/>
        <v/>
      </c>
      <c r="AC275" s="609" t="str">
        <f t="shared" si="59"/>
        <v/>
      </c>
      <c r="AD275" s="609" t="str">
        <f t="shared" si="59"/>
        <v/>
      </c>
      <c r="AE275" s="609" t="str">
        <f t="shared" si="59"/>
        <v/>
      </c>
      <c r="AF275" s="609" t="str">
        <f t="shared" si="59"/>
        <v/>
      </c>
      <c r="AG275" s="609" t="str">
        <f t="shared" si="59"/>
        <v/>
      </c>
      <c r="AH275" s="609" t="str">
        <f t="shared" si="59"/>
        <v/>
      </c>
      <c r="AI275" s="609" t="str">
        <f t="shared" si="59"/>
        <v/>
      </c>
      <c r="AJ275" s="609" t="str">
        <f t="shared" si="59"/>
        <v/>
      </c>
      <c r="AK275" s="609" t="str">
        <f t="shared" si="59"/>
        <v/>
      </c>
      <c r="AL275" s="609" t="str">
        <f t="shared" si="59"/>
        <v/>
      </c>
      <c r="AM275" s="609" t="str">
        <f t="shared" si="59"/>
        <v/>
      </c>
      <c r="AN275" s="609" t="str">
        <f t="shared" si="59"/>
        <v/>
      </c>
      <c r="AO275" s="609" t="str">
        <f t="shared" si="59"/>
        <v/>
      </c>
      <c r="AP275" s="609" t="str">
        <f t="shared" si="59"/>
        <v/>
      </c>
      <c r="AQ275" s="609" t="str">
        <f t="shared" si="59"/>
        <v/>
      </c>
      <c r="AR275" s="609" t="str">
        <f t="shared" si="59"/>
        <v/>
      </c>
      <c r="AS275" s="609" t="str">
        <f t="shared" si="59"/>
        <v/>
      </c>
      <c r="AT275" s="609" t="str">
        <f t="shared" si="59"/>
        <v/>
      </c>
      <c r="AU275" s="609" t="str">
        <f t="shared" si="59"/>
        <v/>
      </c>
      <c r="AV275" s="609" t="str">
        <f t="shared" si="59"/>
        <v/>
      </c>
      <c r="AW275" s="609" t="str">
        <f t="shared" si="59"/>
        <v/>
      </c>
      <c r="AX275" s="609" t="str">
        <f t="shared" si="59"/>
        <v/>
      </c>
      <c r="AY275" s="609" t="str">
        <f t="shared" si="59"/>
        <v/>
      </c>
      <c r="AZ275" s="609" t="str">
        <f t="shared" si="59"/>
        <v/>
      </c>
      <c r="BA275" s="609" t="str">
        <f t="shared" si="59"/>
        <v/>
      </c>
      <c r="BB275" s="609" t="str">
        <f t="shared" si="59"/>
        <v/>
      </c>
      <c r="BC275" s="609" t="str">
        <f t="shared" si="59"/>
        <v/>
      </c>
      <c r="BD275" s="609" t="str">
        <f t="shared" si="59"/>
        <v/>
      </c>
      <c r="BE275" s="609" t="str">
        <f t="shared" si="59"/>
        <v/>
      </c>
      <c r="BF275" s="609" t="str">
        <f t="shared" si="59"/>
        <v/>
      </c>
      <c r="BG275" s="609" t="str">
        <f t="shared" si="59"/>
        <v/>
      </c>
    </row>
    <row r="276" spans="2:59" x14ac:dyDescent="0.25">
      <c r="B276" s="654">
        <v>270</v>
      </c>
      <c r="C276" s="654"/>
      <c r="D276" s="654"/>
      <c r="E276" s="655"/>
      <c r="F276" s="654"/>
      <c r="H276" s="609" t="str">
        <f t="shared" si="56"/>
        <v/>
      </c>
      <c r="I276" s="609" t="str">
        <f t="shared" si="59"/>
        <v/>
      </c>
      <c r="J276" s="609" t="str">
        <f t="shared" si="59"/>
        <v/>
      </c>
      <c r="K276" s="609" t="str">
        <f t="shared" si="59"/>
        <v/>
      </c>
      <c r="L276" s="609" t="str">
        <f t="shared" si="59"/>
        <v/>
      </c>
      <c r="M276" s="609" t="str">
        <f t="shared" si="59"/>
        <v/>
      </c>
      <c r="N276" s="609" t="str">
        <f t="shared" si="59"/>
        <v/>
      </c>
      <c r="O276" s="609" t="str">
        <f t="shared" si="59"/>
        <v/>
      </c>
      <c r="P276" s="609" t="str">
        <f t="shared" si="59"/>
        <v/>
      </c>
      <c r="Q276" s="609" t="str">
        <f t="shared" si="59"/>
        <v/>
      </c>
      <c r="R276" s="609" t="str">
        <f t="shared" si="59"/>
        <v/>
      </c>
      <c r="S276" s="609" t="str">
        <f t="shared" si="59"/>
        <v/>
      </c>
      <c r="T276" s="609" t="str">
        <f t="shared" si="59"/>
        <v/>
      </c>
      <c r="U276" s="609" t="str">
        <f t="shared" si="59"/>
        <v/>
      </c>
      <c r="V276" s="609" t="str">
        <f t="shared" si="59"/>
        <v/>
      </c>
      <c r="W276" s="609" t="str">
        <f t="shared" si="59"/>
        <v/>
      </c>
      <c r="X276" s="609" t="str">
        <f t="shared" si="59"/>
        <v/>
      </c>
      <c r="Y276" s="609" t="str">
        <f t="shared" si="59"/>
        <v/>
      </c>
      <c r="Z276" s="609" t="str">
        <f t="shared" si="59"/>
        <v/>
      </c>
      <c r="AA276" s="609" t="str">
        <f t="shared" si="59"/>
        <v/>
      </c>
      <c r="AB276" s="609" t="str">
        <f t="shared" si="59"/>
        <v/>
      </c>
      <c r="AC276" s="609" t="str">
        <f t="shared" si="59"/>
        <v/>
      </c>
      <c r="AD276" s="609" t="str">
        <f t="shared" si="59"/>
        <v/>
      </c>
      <c r="AE276" s="609" t="str">
        <f t="shared" si="59"/>
        <v/>
      </c>
      <c r="AF276" s="609" t="str">
        <f t="shared" si="59"/>
        <v/>
      </c>
      <c r="AG276" s="609" t="str">
        <f t="shared" si="59"/>
        <v/>
      </c>
      <c r="AH276" s="609" t="str">
        <f t="shared" si="59"/>
        <v/>
      </c>
      <c r="AI276" s="609" t="str">
        <f t="shared" si="59"/>
        <v/>
      </c>
      <c r="AJ276" s="609" t="str">
        <f t="shared" si="59"/>
        <v/>
      </c>
      <c r="AK276" s="609" t="str">
        <f t="shared" si="59"/>
        <v/>
      </c>
      <c r="AL276" s="609" t="str">
        <f t="shared" si="59"/>
        <v/>
      </c>
      <c r="AM276" s="609" t="str">
        <f t="shared" si="59"/>
        <v/>
      </c>
      <c r="AN276" s="609" t="str">
        <f t="shared" si="59"/>
        <v/>
      </c>
      <c r="AO276" s="609" t="str">
        <f t="shared" si="59"/>
        <v/>
      </c>
      <c r="AP276" s="609" t="str">
        <f t="shared" si="59"/>
        <v/>
      </c>
      <c r="AQ276" s="609" t="str">
        <f t="shared" si="59"/>
        <v/>
      </c>
      <c r="AR276" s="609" t="str">
        <f t="shared" si="59"/>
        <v/>
      </c>
      <c r="AS276" s="609" t="str">
        <f t="shared" si="59"/>
        <v/>
      </c>
      <c r="AT276" s="609" t="str">
        <f t="shared" si="59"/>
        <v/>
      </c>
      <c r="AU276" s="609" t="str">
        <f t="shared" si="59"/>
        <v/>
      </c>
      <c r="AV276" s="609" t="str">
        <f t="shared" si="59"/>
        <v/>
      </c>
      <c r="AW276" s="609" t="str">
        <f t="shared" si="59"/>
        <v/>
      </c>
      <c r="AX276" s="609" t="str">
        <f t="shared" si="59"/>
        <v/>
      </c>
      <c r="AY276" s="609" t="str">
        <f t="shared" si="59"/>
        <v/>
      </c>
      <c r="AZ276" s="609" t="str">
        <f t="shared" si="59"/>
        <v/>
      </c>
      <c r="BA276" s="609" t="str">
        <f t="shared" si="59"/>
        <v/>
      </c>
      <c r="BB276" s="609" t="str">
        <f t="shared" si="59"/>
        <v/>
      </c>
      <c r="BC276" s="609" t="str">
        <f t="shared" si="59"/>
        <v/>
      </c>
      <c r="BD276" s="609" t="str">
        <f t="shared" si="59"/>
        <v/>
      </c>
      <c r="BE276" s="609" t="str">
        <f t="shared" si="59"/>
        <v/>
      </c>
      <c r="BF276" s="609" t="str">
        <f t="shared" si="59"/>
        <v/>
      </c>
      <c r="BG276" s="609" t="str">
        <f t="shared" si="59"/>
        <v/>
      </c>
    </row>
    <row r="277" spans="2:59" x14ac:dyDescent="0.25">
      <c r="B277" s="654">
        <v>271</v>
      </c>
      <c r="C277" s="654"/>
      <c r="D277" s="654"/>
      <c r="E277" s="655"/>
      <c r="F277" s="654"/>
      <c r="H277" s="609" t="str">
        <f t="shared" si="56"/>
        <v/>
      </c>
      <c r="I277" s="609" t="str">
        <f t="shared" si="59"/>
        <v/>
      </c>
      <c r="J277" s="609" t="str">
        <f t="shared" si="59"/>
        <v/>
      </c>
      <c r="K277" s="609" t="str">
        <f t="shared" si="59"/>
        <v/>
      </c>
      <c r="L277" s="609" t="str">
        <f t="shared" si="59"/>
        <v/>
      </c>
      <c r="M277" s="609" t="str">
        <f t="shared" si="59"/>
        <v/>
      </c>
      <c r="N277" s="609" t="str">
        <f t="shared" si="59"/>
        <v/>
      </c>
      <c r="O277" s="609" t="str">
        <f t="shared" si="59"/>
        <v/>
      </c>
      <c r="P277" s="609" t="str">
        <f t="shared" si="59"/>
        <v/>
      </c>
      <c r="Q277" s="609" t="str">
        <f t="shared" si="59"/>
        <v/>
      </c>
      <c r="R277" s="609" t="str">
        <f t="shared" si="59"/>
        <v/>
      </c>
      <c r="S277" s="609" t="str">
        <f t="shared" si="59"/>
        <v/>
      </c>
      <c r="T277" s="609" t="str">
        <f t="shared" si="59"/>
        <v/>
      </c>
      <c r="U277" s="609" t="str">
        <f t="shared" si="59"/>
        <v/>
      </c>
      <c r="V277" s="609" t="str">
        <f t="shared" si="59"/>
        <v/>
      </c>
      <c r="W277" s="609" t="str">
        <f t="shared" si="59"/>
        <v/>
      </c>
      <c r="X277" s="609" t="str">
        <f t="shared" si="59"/>
        <v/>
      </c>
      <c r="Y277" s="609" t="str">
        <f t="shared" si="59"/>
        <v/>
      </c>
      <c r="Z277" s="609" t="str">
        <f t="shared" si="59"/>
        <v/>
      </c>
      <c r="AA277" s="609" t="str">
        <f t="shared" si="59"/>
        <v/>
      </c>
      <c r="AB277" s="609" t="str">
        <f t="shared" si="59"/>
        <v/>
      </c>
      <c r="AC277" s="609" t="str">
        <f t="shared" si="59"/>
        <v/>
      </c>
      <c r="AD277" s="609" t="str">
        <f t="shared" si="59"/>
        <v/>
      </c>
      <c r="AE277" s="609" t="str">
        <f t="shared" si="59"/>
        <v/>
      </c>
      <c r="AF277" s="609" t="str">
        <f t="shared" si="59"/>
        <v/>
      </c>
      <c r="AG277" s="609" t="str">
        <f t="shared" si="59"/>
        <v/>
      </c>
      <c r="AH277" s="609" t="str">
        <f t="shared" si="59"/>
        <v/>
      </c>
      <c r="AI277" s="609" t="str">
        <f t="shared" si="59"/>
        <v/>
      </c>
      <c r="AJ277" s="609" t="str">
        <f t="shared" si="59"/>
        <v/>
      </c>
      <c r="AK277" s="609" t="str">
        <f t="shared" si="59"/>
        <v/>
      </c>
      <c r="AL277" s="609" t="str">
        <f t="shared" si="59"/>
        <v/>
      </c>
      <c r="AM277" s="609" t="str">
        <f t="shared" si="59"/>
        <v/>
      </c>
      <c r="AN277" s="609" t="str">
        <f t="shared" si="59"/>
        <v/>
      </c>
      <c r="AO277" s="609" t="str">
        <f t="shared" si="59"/>
        <v/>
      </c>
      <c r="AP277" s="609" t="str">
        <f t="shared" si="59"/>
        <v/>
      </c>
      <c r="AQ277" s="609" t="str">
        <f t="shared" si="59"/>
        <v/>
      </c>
      <c r="AR277" s="609" t="str">
        <f t="shared" si="59"/>
        <v/>
      </c>
      <c r="AS277" s="609" t="str">
        <f t="shared" si="59"/>
        <v/>
      </c>
      <c r="AT277" s="609" t="str">
        <f t="shared" si="59"/>
        <v/>
      </c>
      <c r="AU277" s="609" t="str">
        <f t="shared" si="59"/>
        <v/>
      </c>
      <c r="AV277" s="609" t="str">
        <f t="shared" si="59"/>
        <v/>
      </c>
      <c r="AW277" s="609" t="str">
        <f t="shared" si="59"/>
        <v/>
      </c>
      <c r="AX277" s="609" t="str">
        <f t="shared" si="59"/>
        <v/>
      </c>
      <c r="AY277" s="609" t="str">
        <f t="shared" si="59"/>
        <v/>
      </c>
      <c r="AZ277" s="609" t="str">
        <f t="shared" si="59"/>
        <v/>
      </c>
      <c r="BA277" s="609" t="str">
        <f t="shared" si="59"/>
        <v/>
      </c>
      <c r="BB277" s="609" t="str">
        <f t="shared" si="59"/>
        <v/>
      </c>
      <c r="BC277" s="609" t="str">
        <f t="shared" si="59"/>
        <v/>
      </c>
      <c r="BD277" s="609" t="str">
        <f t="shared" si="59"/>
        <v/>
      </c>
      <c r="BE277" s="609" t="str">
        <f t="shared" si="59"/>
        <v/>
      </c>
      <c r="BF277" s="609" t="str">
        <f t="shared" si="59"/>
        <v/>
      </c>
      <c r="BG277" s="609" t="str">
        <f t="shared" si="59"/>
        <v/>
      </c>
    </row>
    <row r="278" spans="2:59" x14ac:dyDescent="0.25">
      <c r="B278" s="654">
        <v>272</v>
      </c>
      <c r="C278" s="654"/>
      <c r="D278" s="654"/>
      <c r="E278" s="655"/>
      <c r="F278" s="654"/>
      <c r="H278" s="609" t="str">
        <f t="shared" si="56"/>
        <v/>
      </c>
      <c r="I278" s="609" t="str">
        <f t="shared" si="59"/>
        <v/>
      </c>
      <c r="J278" s="609" t="str">
        <f t="shared" si="59"/>
        <v/>
      </c>
      <c r="K278" s="609" t="str">
        <f t="shared" si="59"/>
        <v/>
      </c>
      <c r="L278" s="609" t="str">
        <f t="shared" si="59"/>
        <v/>
      </c>
      <c r="M278" s="609" t="str">
        <f t="shared" si="59"/>
        <v/>
      </c>
      <c r="N278" s="609" t="str">
        <f t="shared" si="59"/>
        <v/>
      </c>
      <c r="O278" s="609" t="str">
        <f t="shared" si="59"/>
        <v/>
      </c>
      <c r="P278" s="609" t="str">
        <f t="shared" si="59"/>
        <v/>
      </c>
      <c r="Q278" s="609" t="str">
        <f t="shared" si="59"/>
        <v/>
      </c>
      <c r="R278" s="609" t="str">
        <f t="shared" si="59"/>
        <v/>
      </c>
      <c r="S278" s="609" t="str">
        <f t="shared" si="59"/>
        <v/>
      </c>
      <c r="T278" s="609" t="str">
        <f t="shared" si="59"/>
        <v/>
      </c>
      <c r="U278" s="609" t="str">
        <f t="shared" si="59"/>
        <v/>
      </c>
      <c r="V278" s="609" t="str">
        <f t="shared" si="59"/>
        <v/>
      </c>
      <c r="W278" s="609" t="str">
        <f t="shared" si="59"/>
        <v/>
      </c>
      <c r="X278" s="609" t="str">
        <f t="shared" si="59"/>
        <v/>
      </c>
      <c r="Y278" s="609" t="str">
        <f t="shared" si="59"/>
        <v/>
      </c>
      <c r="Z278" s="609" t="str">
        <f t="shared" si="59"/>
        <v/>
      </c>
      <c r="AA278" s="609" t="str">
        <f t="shared" si="59"/>
        <v/>
      </c>
      <c r="AB278" s="609" t="str">
        <f t="shared" si="59"/>
        <v/>
      </c>
      <c r="AC278" s="609" t="str">
        <f t="shared" si="59"/>
        <v/>
      </c>
      <c r="AD278" s="609" t="str">
        <f t="shared" si="59"/>
        <v/>
      </c>
      <c r="AE278" s="609" t="str">
        <f t="shared" si="59"/>
        <v/>
      </c>
      <c r="AF278" s="609" t="str">
        <f t="shared" si="59"/>
        <v/>
      </c>
      <c r="AG278" s="609" t="str">
        <f t="shared" si="59"/>
        <v/>
      </c>
      <c r="AH278" s="609" t="str">
        <f t="shared" si="59"/>
        <v/>
      </c>
      <c r="AI278" s="609" t="str">
        <f t="shared" si="59"/>
        <v/>
      </c>
      <c r="AJ278" s="609" t="str">
        <f t="shared" si="59"/>
        <v/>
      </c>
      <c r="AK278" s="609" t="str">
        <f t="shared" si="59"/>
        <v/>
      </c>
      <c r="AL278" s="609" t="str">
        <f t="shared" si="59"/>
        <v/>
      </c>
      <c r="AM278" s="609" t="str">
        <f t="shared" si="59"/>
        <v/>
      </c>
      <c r="AN278" s="609" t="str">
        <f t="shared" si="59"/>
        <v/>
      </c>
      <c r="AO278" s="609" t="str">
        <f t="shared" si="59"/>
        <v/>
      </c>
      <c r="AP278" s="609" t="str">
        <f t="shared" si="59"/>
        <v/>
      </c>
      <c r="AQ278" s="609" t="str">
        <f t="shared" si="59"/>
        <v/>
      </c>
      <c r="AR278" s="609" t="str">
        <f t="shared" si="59"/>
        <v/>
      </c>
      <c r="AS278" s="609" t="str">
        <f t="shared" si="59"/>
        <v/>
      </c>
      <c r="AT278" s="609" t="str">
        <f t="shared" si="59"/>
        <v/>
      </c>
      <c r="AU278" s="609" t="str">
        <f t="shared" si="59"/>
        <v/>
      </c>
      <c r="AV278" s="609" t="str">
        <f t="shared" si="59"/>
        <v/>
      </c>
      <c r="AW278" s="609" t="str">
        <f t="shared" si="59"/>
        <v/>
      </c>
      <c r="AX278" s="609" t="str">
        <f t="shared" si="59"/>
        <v/>
      </c>
      <c r="AY278" s="609" t="str">
        <f t="shared" si="59"/>
        <v/>
      </c>
      <c r="AZ278" s="609" t="str">
        <f t="shared" si="59"/>
        <v/>
      </c>
      <c r="BA278" s="609" t="str">
        <f t="shared" si="59"/>
        <v/>
      </c>
      <c r="BB278" s="609" t="str">
        <f t="shared" si="59"/>
        <v/>
      </c>
      <c r="BC278" s="609" t="str">
        <f t="shared" si="59"/>
        <v/>
      </c>
      <c r="BD278" s="609" t="str">
        <f t="shared" si="59"/>
        <v/>
      </c>
      <c r="BE278" s="609" t="str">
        <f t="shared" si="59"/>
        <v/>
      </c>
      <c r="BF278" s="609" t="str">
        <f t="shared" si="59"/>
        <v/>
      </c>
      <c r="BG278" s="609" t="str">
        <f t="shared" si="59"/>
        <v/>
      </c>
    </row>
    <row r="279" spans="2:59" x14ac:dyDescent="0.25">
      <c r="B279" s="654">
        <v>273</v>
      </c>
      <c r="C279" s="654"/>
      <c r="D279" s="654"/>
      <c r="E279" s="655"/>
      <c r="F279" s="654"/>
      <c r="H279" s="609" t="str">
        <f t="shared" si="56"/>
        <v/>
      </c>
      <c r="I279" s="609" t="str">
        <f t="shared" si="59"/>
        <v/>
      </c>
      <c r="J279" s="609" t="str">
        <f t="shared" si="59"/>
        <v/>
      </c>
      <c r="K279" s="609" t="str">
        <f t="shared" si="59"/>
        <v/>
      </c>
      <c r="L279" s="609" t="str">
        <f t="shared" si="59"/>
        <v/>
      </c>
      <c r="M279" s="609" t="str">
        <f t="shared" si="59"/>
        <v/>
      </c>
      <c r="N279" s="609" t="str">
        <f t="shared" si="59"/>
        <v/>
      </c>
      <c r="O279" s="609" t="str">
        <f t="shared" si="59"/>
        <v/>
      </c>
      <c r="P279" s="609" t="str">
        <f t="shared" si="59"/>
        <v/>
      </c>
      <c r="Q279" s="609" t="str">
        <f t="shared" si="59"/>
        <v/>
      </c>
      <c r="R279" s="609" t="str">
        <f t="shared" si="59"/>
        <v/>
      </c>
      <c r="S279" s="609" t="str">
        <f t="shared" si="59"/>
        <v/>
      </c>
      <c r="T279" s="609" t="str">
        <f t="shared" si="59"/>
        <v/>
      </c>
      <c r="U279" s="609" t="str">
        <f t="shared" si="59"/>
        <v/>
      </c>
      <c r="V279" s="609" t="str">
        <f t="shared" si="59"/>
        <v/>
      </c>
      <c r="W279" s="609" t="str">
        <f t="shared" si="59"/>
        <v/>
      </c>
      <c r="X279" s="609" t="str">
        <f t="shared" si="59"/>
        <v/>
      </c>
      <c r="Y279" s="609" t="str">
        <f t="shared" si="59"/>
        <v/>
      </c>
      <c r="Z279" s="609" t="str">
        <f t="shared" si="59"/>
        <v/>
      </c>
      <c r="AA279" s="609" t="str">
        <f t="shared" si="59"/>
        <v/>
      </c>
      <c r="AB279" s="609" t="str">
        <f t="shared" si="59"/>
        <v/>
      </c>
      <c r="AC279" s="609" t="str">
        <f t="shared" si="59"/>
        <v/>
      </c>
      <c r="AD279" s="609" t="str">
        <f t="shared" si="59"/>
        <v/>
      </c>
      <c r="AE279" s="609" t="str">
        <f t="shared" si="59"/>
        <v/>
      </c>
      <c r="AF279" s="609" t="str">
        <f t="shared" si="59"/>
        <v/>
      </c>
      <c r="AG279" s="609" t="str">
        <f t="shared" si="59"/>
        <v/>
      </c>
      <c r="AH279" s="609" t="str">
        <f t="shared" si="59"/>
        <v/>
      </c>
      <c r="AI279" s="609" t="str">
        <f t="shared" si="59"/>
        <v/>
      </c>
      <c r="AJ279" s="609" t="str">
        <f t="shared" si="59"/>
        <v/>
      </c>
      <c r="AK279" s="609" t="str">
        <f t="shared" si="59"/>
        <v/>
      </c>
      <c r="AL279" s="609" t="str">
        <f t="shared" si="59"/>
        <v/>
      </c>
      <c r="AM279" s="609" t="str">
        <f t="shared" si="59"/>
        <v/>
      </c>
      <c r="AN279" s="609" t="str">
        <f t="shared" si="59"/>
        <v/>
      </c>
      <c r="AO279" s="609" t="str">
        <f t="shared" si="59"/>
        <v/>
      </c>
      <c r="AP279" s="609" t="str">
        <f t="shared" si="59"/>
        <v/>
      </c>
      <c r="AQ279" s="609" t="str">
        <f t="shared" si="59"/>
        <v/>
      </c>
      <c r="AR279" s="609" t="str">
        <f t="shared" si="59"/>
        <v/>
      </c>
      <c r="AS279" s="609" t="str">
        <f t="shared" si="59"/>
        <v/>
      </c>
      <c r="AT279" s="609" t="str">
        <f t="shared" si="59"/>
        <v/>
      </c>
      <c r="AU279" s="609" t="str">
        <f t="shared" si="59"/>
        <v/>
      </c>
      <c r="AV279" s="609" t="str">
        <f t="shared" si="59"/>
        <v/>
      </c>
      <c r="AW279" s="609" t="str">
        <f t="shared" si="59"/>
        <v/>
      </c>
      <c r="AX279" s="609" t="str">
        <f t="shared" si="59"/>
        <v/>
      </c>
      <c r="AY279" s="609" t="str">
        <f t="shared" si="59"/>
        <v/>
      </c>
      <c r="AZ279" s="609" t="str">
        <f t="shared" si="59"/>
        <v/>
      </c>
      <c r="BA279" s="609" t="str">
        <f t="shared" si="59"/>
        <v/>
      </c>
      <c r="BB279" s="609" t="str">
        <f t="shared" si="59"/>
        <v/>
      </c>
      <c r="BC279" s="609" t="str">
        <f t="shared" si="59"/>
        <v/>
      </c>
      <c r="BD279" s="609" t="str">
        <f t="shared" si="59"/>
        <v/>
      </c>
      <c r="BE279" s="609" t="str">
        <f t="shared" si="59"/>
        <v/>
      </c>
      <c r="BF279" s="609" t="str">
        <f t="shared" si="59"/>
        <v/>
      </c>
      <c r="BG279" s="609" t="str">
        <f t="shared" si="59"/>
        <v/>
      </c>
    </row>
    <row r="280" spans="2:59" x14ac:dyDescent="0.25">
      <c r="B280" s="654">
        <v>274</v>
      </c>
      <c r="C280" s="654"/>
      <c r="D280" s="654"/>
      <c r="E280" s="655"/>
      <c r="F280" s="654"/>
      <c r="H280" s="609" t="str">
        <f t="shared" si="56"/>
        <v/>
      </c>
      <c r="I280" s="609" t="str">
        <f t="shared" ref="I280:BG284" si="60">IF($D280=I$6,$B280&amp;", ","")</f>
        <v/>
      </c>
      <c r="J280" s="609" t="str">
        <f t="shared" si="60"/>
        <v/>
      </c>
      <c r="K280" s="609" t="str">
        <f t="shared" si="60"/>
        <v/>
      </c>
      <c r="L280" s="609" t="str">
        <f t="shared" si="60"/>
        <v/>
      </c>
      <c r="M280" s="609" t="str">
        <f t="shared" si="60"/>
        <v/>
      </c>
      <c r="N280" s="609" t="str">
        <f t="shared" si="60"/>
        <v/>
      </c>
      <c r="O280" s="609" t="str">
        <f t="shared" si="60"/>
        <v/>
      </c>
      <c r="P280" s="609" t="str">
        <f t="shared" si="60"/>
        <v/>
      </c>
      <c r="Q280" s="609" t="str">
        <f t="shared" si="60"/>
        <v/>
      </c>
      <c r="R280" s="609" t="str">
        <f t="shared" si="60"/>
        <v/>
      </c>
      <c r="S280" s="609" t="str">
        <f t="shared" si="60"/>
        <v/>
      </c>
      <c r="T280" s="609" t="str">
        <f t="shared" si="60"/>
        <v/>
      </c>
      <c r="U280" s="609" t="str">
        <f t="shared" si="60"/>
        <v/>
      </c>
      <c r="V280" s="609" t="str">
        <f t="shared" si="60"/>
        <v/>
      </c>
      <c r="W280" s="609" t="str">
        <f t="shared" si="60"/>
        <v/>
      </c>
      <c r="X280" s="609" t="str">
        <f t="shared" si="60"/>
        <v/>
      </c>
      <c r="Y280" s="609" t="str">
        <f t="shared" si="60"/>
        <v/>
      </c>
      <c r="Z280" s="609" t="str">
        <f t="shared" si="60"/>
        <v/>
      </c>
      <c r="AA280" s="609" t="str">
        <f t="shared" si="60"/>
        <v/>
      </c>
      <c r="AB280" s="609" t="str">
        <f t="shared" si="60"/>
        <v/>
      </c>
      <c r="AC280" s="609" t="str">
        <f t="shared" si="60"/>
        <v/>
      </c>
      <c r="AD280" s="609" t="str">
        <f t="shared" si="60"/>
        <v/>
      </c>
      <c r="AE280" s="609" t="str">
        <f t="shared" si="60"/>
        <v/>
      </c>
      <c r="AF280" s="609" t="str">
        <f t="shared" si="60"/>
        <v/>
      </c>
      <c r="AG280" s="609" t="str">
        <f t="shared" si="60"/>
        <v/>
      </c>
      <c r="AH280" s="609" t="str">
        <f t="shared" si="60"/>
        <v/>
      </c>
      <c r="AI280" s="609" t="str">
        <f t="shared" si="60"/>
        <v/>
      </c>
      <c r="AJ280" s="609" t="str">
        <f t="shared" si="60"/>
        <v/>
      </c>
      <c r="AK280" s="609" t="str">
        <f t="shared" si="60"/>
        <v/>
      </c>
      <c r="AL280" s="609" t="str">
        <f t="shared" si="60"/>
        <v/>
      </c>
      <c r="AM280" s="609" t="str">
        <f t="shared" si="60"/>
        <v/>
      </c>
      <c r="AN280" s="609" t="str">
        <f t="shared" si="60"/>
        <v/>
      </c>
      <c r="AO280" s="609" t="str">
        <f t="shared" si="60"/>
        <v/>
      </c>
      <c r="AP280" s="609" t="str">
        <f t="shared" si="60"/>
        <v/>
      </c>
      <c r="AQ280" s="609" t="str">
        <f t="shared" si="60"/>
        <v/>
      </c>
      <c r="AR280" s="609" t="str">
        <f t="shared" si="60"/>
        <v/>
      </c>
      <c r="AS280" s="609" t="str">
        <f t="shared" si="60"/>
        <v/>
      </c>
      <c r="AT280" s="609" t="str">
        <f t="shared" si="60"/>
        <v/>
      </c>
      <c r="AU280" s="609" t="str">
        <f t="shared" si="60"/>
        <v/>
      </c>
      <c r="AV280" s="609" t="str">
        <f t="shared" si="60"/>
        <v/>
      </c>
      <c r="AW280" s="609" t="str">
        <f t="shared" si="60"/>
        <v/>
      </c>
      <c r="AX280" s="609" t="str">
        <f t="shared" si="60"/>
        <v/>
      </c>
      <c r="AY280" s="609" t="str">
        <f t="shared" si="60"/>
        <v/>
      </c>
      <c r="AZ280" s="609" t="str">
        <f t="shared" si="60"/>
        <v/>
      </c>
      <c r="BA280" s="609" t="str">
        <f t="shared" si="60"/>
        <v/>
      </c>
      <c r="BB280" s="609" t="str">
        <f t="shared" si="60"/>
        <v/>
      </c>
      <c r="BC280" s="609" t="str">
        <f t="shared" si="60"/>
        <v/>
      </c>
      <c r="BD280" s="609" t="str">
        <f t="shared" si="60"/>
        <v/>
      </c>
      <c r="BE280" s="609" t="str">
        <f t="shared" si="60"/>
        <v/>
      </c>
      <c r="BF280" s="609" t="str">
        <f t="shared" si="60"/>
        <v/>
      </c>
      <c r="BG280" s="609" t="str">
        <f t="shared" si="60"/>
        <v/>
      </c>
    </row>
    <row r="281" spans="2:59" x14ac:dyDescent="0.25">
      <c r="B281" s="654">
        <v>275</v>
      </c>
      <c r="C281" s="654"/>
      <c r="D281" s="654"/>
      <c r="E281" s="655"/>
      <c r="F281" s="654"/>
      <c r="H281" s="609" t="str">
        <f t="shared" si="56"/>
        <v/>
      </c>
      <c r="I281" s="609" t="str">
        <f t="shared" si="60"/>
        <v/>
      </c>
      <c r="J281" s="609" t="str">
        <f t="shared" si="60"/>
        <v/>
      </c>
      <c r="K281" s="609" t="str">
        <f t="shared" si="60"/>
        <v/>
      </c>
      <c r="L281" s="609" t="str">
        <f t="shared" si="60"/>
        <v/>
      </c>
      <c r="M281" s="609" t="str">
        <f t="shared" si="60"/>
        <v/>
      </c>
      <c r="N281" s="609" t="str">
        <f t="shared" si="60"/>
        <v/>
      </c>
      <c r="O281" s="609" t="str">
        <f t="shared" si="60"/>
        <v/>
      </c>
      <c r="P281" s="609" t="str">
        <f t="shared" si="60"/>
        <v/>
      </c>
      <c r="Q281" s="609" t="str">
        <f t="shared" si="60"/>
        <v/>
      </c>
      <c r="R281" s="609" t="str">
        <f t="shared" si="60"/>
        <v/>
      </c>
      <c r="S281" s="609" t="str">
        <f t="shared" si="60"/>
        <v/>
      </c>
      <c r="T281" s="609" t="str">
        <f t="shared" si="60"/>
        <v/>
      </c>
      <c r="U281" s="609" t="str">
        <f t="shared" si="60"/>
        <v/>
      </c>
      <c r="V281" s="609" t="str">
        <f t="shared" si="60"/>
        <v/>
      </c>
      <c r="W281" s="609" t="str">
        <f t="shared" si="60"/>
        <v/>
      </c>
      <c r="X281" s="609" t="str">
        <f t="shared" si="60"/>
        <v/>
      </c>
      <c r="Y281" s="609" t="str">
        <f t="shared" si="60"/>
        <v/>
      </c>
      <c r="Z281" s="609" t="str">
        <f t="shared" si="60"/>
        <v/>
      </c>
      <c r="AA281" s="609" t="str">
        <f t="shared" si="60"/>
        <v/>
      </c>
      <c r="AB281" s="609" t="str">
        <f t="shared" si="60"/>
        <v/>
      </c>
      <c r="AC281" s="609" t="str">
        <f t="shared" si="60"/>
        <v/>
      </c>
      <c r="AD281" s="609" t="str">
        <f t="shared" si="60"/>
        <v/>
      </c>
      <c r="AE281" s="609" t="str">
        <f t="shared" si="60"/>
        <v/>
      </c>
      <c r="AF281" s="609" t="str">
        <f t="shared" si="60"/>
        <v/>
      </c>
      <c r="AG281" s="609" t="str">
        <f t="shared" si="60"/>
        <v/>
      </c>
      <c r="AH281" s="609" t="str">
        <f t="shared" si="60"/>
        <v/>
      </c>
      <c r="AI281" s="609" t="str">
        <f t="shared" si="60"/>
        <v/>
      </c>
      <c r="AJ281" s="609" t="str">
        <f t="shared" si="60"/>
        <v/>
      </c>
      <c r="AK281" s="609" t="str">
        <f t="shared" si="60"/>
        <v/>
      </c>
      <c r="AL281" s="609" t="str">
        <f t="shared" si="60"/>
        <v/>
      </c>
      <c r="AM281" s="609" t="str">
        <f t="shared" si="60"/>
        <v/>
      </c>
      <c r="AN281" s="609" t="str">
        <f t="shared" si="60"/>
        <v/>
      </c>
      <c r="AO281" s="609" t="str">
        <f t="shared" si="60"/>
        <v/>
      </c>
      <c r="AP281" s="609" t="str">
        <f t="shared" si="60"/>
        <v/>
      </c>
      <c r="AQ281" s="609" t="str">
        <f t="shared" si="60"/>
        <v/>
      </c>
      <c r="AR281" s="609" t="str">
        <f t="shared" si="60"/>
        <v/>
      </c>
      <c r="AS281" s="609" t="str">
        <f t="shared" si="60"/>
        <v/>
      </c>
      <c r="AT281" s="609" t="str">
        <f t="shared" si="60"/>
        <v/>
      </c>
      <c r="AU281" s="609" t="str">
        <f t="shared" si="60"/>
        <v/>
      </c>
      <c r="AV281" s="609" t="str">
        <f t="shared" si="60"/>
        <v/>
      </c>
      <c r="AW281" s="609" t="str">
        <f t="shared" si="60"/>
        <v/>
      </c>
      <c r="AX281" s="609" t="str">
        <f t="shared" si="60"/>
        <v/>
      </c>
      <c r="AY281" s="609" t="str">
        <f t="shared" si="60"/>
        <v/>
      </c>
      <c r="AZ281" s="609" t="str">
        <f t="shared" si="60"/>
        <v/>
      </c>
      <c r="BA281" s="609" t="str">
        <f t="shared" si="60"/>
        <v/>
      </c>
      <c r="BB281" s="609" t="str">
        <f t="shared" si="60"/>
        <v/>
      </c>
      <c r="BC281" s="609" t="str">
        <f t="shared" si="60"/>
        <v/>
      </c>
      <c r="BD281" s="609" t="str">
        <f t="shared" si="60"/>
        <v/>
      </c>
      <c r="BE281" s="609" t="str">
        <f t="shared" si="60"/>
        <v/>
      </c>
      <c r="BF281" s="609" t="str">
        <f t="shared" si="60"/>
        <v/>
      </c>
      <c r="BG281" s="609" t="str">
        <f t="shared" si="60"/>
        <v/>
      </c>
    </row>
    <row r="282" spans="2:59" x14ac:dyDescent="0.25">
      <c r="B282" s="654">
        <v>276</v>
      </c>
      <c r="C282" s="654"/>
      <c r="D282" s="654"/>
      <c r="E282" s="655"/>
      <c r="F282" s="654"/>
      <c r="H282" s="609" t="str">
        <f t="shared" si="56"/>
        <v/>
      </c>
      <c r="I282" s="609" t="str">
        <f t="shared" si="60"/>
        <v/>
      </c>
      <c r="J282" s="609" t="str">
        <f t="shared" si="60"/>
        <v/>
      </c>
      <c r="K282" s="609" t="str">
        <f t="shared" si="60"/>
        <v/>
      </c>
      <c r="L282" s="609" t="str">
        <f t="shared" si="60"/>
        <v/>
      </c>
      <c r="M282" s="609" t="str">
        <f t="shared" si="60"/>
        <v/>
      </c>
      <c r="N282" s="609" t="str">
        <f t="shared" si="60"/>
        <v/>
      </c>
      <c r="O282" s="609" t="str">
        <f t="shared" si="60"/>
        <v/>
      </c>
      <c r="P282" s="609" t="str">
        <f t="shared" si="60"/>
        <v/>
      </c>
      <c r="Q282" s="609" t="str">
        <f t="shared" si="60"/>
        <v/>
      </c>
      <c r="R282" s="609" t="str">
        <f t="shared" si="60"/>
        <v/>
      </c>
      <c r="S282" s="609" t="str">
        <f t="shared" si="60"/>
        <v/>
      </c>
      <c r="T282" s="609" t="str">
        <f t="shared" si="60"/>
        <v/>
      </c>
      <c r="U282" s="609" t="str">
        <f t="shared" si="60"/>
        <v/>
      </c>
      <c r="V282" s="609" t="str">
        <f t="shared" si="60"/>
        <v/>
      </c>
      <c r="W282" s="609" t="str">
        <f t="shared" si="60"/>
        <v/>
      </c>
      <c r="X282" s="609" t="str">
        <f t="shared" si="60"/>
        <v/>
      </c>
      <c r="Y282" s="609" t="str">
        <f t="shared" si="60"/>
        <v/>
      </c>
      <c r="Z282" s="609" t="str">
        <f t="shared" si="60"/>
        <v/>
      </c>
      <c r="AA282" s="609" t="str">
        <f t="shared" si="60"/>
        <v/>
      </c>
      <c r="AB282" s="609" t="str">
        <f t="shared" si="60"/>
        <v/>
      </c>
      <c r="AC282" s="609" t="str">
        <f t="shared" si="60"/>
        <v/>
      </c>
      <c r="AD282" s="609" t="str">
        <f t="shared" si="60"/>
        <v/>
      </c>
      <c r="AE282" s="609" t="str">
        <f t="shared" si="60"/>
        <v/>
      </c>
      <c r="AF282" s="609" t="str">
        <f t="shared" si="60"/>
        <v/>
      </c>
      <c r="AG282" s="609" t="str">
        <f t="shared" si="60"/>
        <v/>
      </c>
      <c r="AH282" s="609" t="str">
        <f t="shared" si="60"/>
        <v/>
      </c>
      <c r="AI282" s="609" t="str">
        <f t="shared" si="60"/>
        <v/>
      </c>
      <c r="AJ282" s="609" t="str">
        <f t="shared" si="60"/>
        <v/>
      </c>
      <c r="AK282" s="609" t="str">
        <f t="shared" si="60"/>
        <v/>
      </c>
      <c r="AL282" s="609" t="str">
        <f t="shared" si="60"/>
        <v/>
      </c>
      <c r="AM282" s="609" t="str">
        <f t="shared" si="60"/>
        <v/>
      </c>
      <c r="AN282" s="609" t="str">
        <f t="shared" si="60"/>
        <v/>
      </c>
      <c r="AO282" s="609" t="str">
        <f t="shared" si="60"/>
        <v/>
      </c>
      <c r="AP282" s="609" t="str">
        <f t="shared" si="60"/>
        <v/>
      </c>
      <c r="AQ282" s="609" t="str">
        <f t="shared" si="60"/>
        <v/>
      </c>
      <c r="AR282" s="609" t="str">
        <f t="shared" si="60"/>
        <v/>
      </c>
      <c r="AS282" s="609" t="str">
        <f t="shared" si="60"/>
        <v/>
      </c>
      <c r="AT282" s="609" t="str">
        <f t="shared" si="60"/>
        <v/>
      </c>
      <c r="AU282" s="609" t="str">
        <f t="shared" si="60"/>
        <v/>
      </c>
      <c r="AV282" s="609" t="str">
        <f t="shared" si="60"/>
        <v/>
      </c>
      <c r="AW282" s="609" t="str">
        <f t="shared" si="60"/>
        <v/>
      </c>
      <c r="AX282" s="609" t="str">
        <f t="shared" si="60"/>
        <v/>
      </c>
      <c r="AY282" s="609" t="str">
        <f t="shared" si="60"/>
        <v/>
      </c>
      <c r="AZ282" s="609" t="str">
        <f t="shared" si="60"/>
        <v/>
      </c>
      <c r="BA282" s="609" t="str">
        <f t="shared" si="60"/>
        <v/>
      </c>
      <c r="BB282" s="609" t="str">
        <f t="shared" si="60"/>
        <v/>
      </c>
      <c r="BC282" s="609" t="str">
        <f t="shared" si="60"/>
        <v/>
      </c>
      <c r="BD282" s="609" t="str">
        <f t="shared" si="60"/>
        <v/>
      </c>
      <c r="BE282" s="609" t="str">
        <f t="shared" si="60"/>
        <v/>
      </c>
      <c r="BF282" s="609" t="str">
        <f t="shared" si="60"/>
        <v/>
      </c>
      <c r="BG282" s="609" t="str">
        <f t="shared" si="60"/>
        <v/>
      </c>
    </row>
    <row r="283" spans="2:59" x14ac:dyDescent="0.25">
      <c r="B283" s="654">
        <v>277</v>
      </c>
      <c r="C283" s="654"/>
      <c r="D283" s="654"/>
      <c r="E283" s="655"/>
      <c r="F283" s="654"/>
      <c r="H283" s="609" t="str">
        <f t="shared" si="56"/>
        <v/>
      </c>
      <c r="I283" s="609" t="str">
        <f t="shared" si="60"/>
        <v/>
      </c>
      <c r="J283" s="609" t="str">
        <f t="shared" si="60"/>
        <v/>
      </c>
      <c r="K283" s="609" t="str">
        <f t="shared" si="60"/>
        <v/>
      </c>
      <c r="L283" s="609" t="str">
        <f t="shared" si="60"/>
        <v/>
      </c>
      <c r="M283" s="609" t="str">
        <f t="shared" si="60"/>
        <v/>
      </c>
      <c r="N283" s="609" t="str">
        <f t="shared" si="60"/>
        <v/>
      </c>
      <c r="O283" s="609" t="str">
        <f t="shared" si="60"/>
        <v/>
      </c>
      <c r="P283" s="609" t="str">
        <f t="shared" si="60"/>
        <v/>
      </c>
      <c r="Q283" s="609" t="str">
        <f t="shared" si="60"/>
        <v/>
      </c>
      <c r="R283" s="609" t="str">
        <f t="shared" si="60"/>
        <v/>
      </c>
      <c r="S283" s="609" t="str">
        <f t="shared" si="60"/>
        <v/>
      </c>
      <c r="T283" s="609" t="str">
        <f t="shared" si="60"/>
        <v/>
      </c>
      <c r="U283" s="609" t="str">
        <f t="shared" si="60"/>
        <v/>
      </c>
      <c r="V283" s="609" t="str">
        <f t="shared" si="60"/>
        <v/>
      </c>
      <c r="W283" s="609" t="str">
        <f t="shared" si="60"/>
        <v/>
      </c>
      <c r="X283" s="609" t="str">
        <f t="shared" si="60"/>
        <v/>
      </c>
      <c r="Y283" s="609" t="str">
        <f t="shared" si="60"/>
        <v/>
      </c>
      <c r="Z283" s="609" t="str">
        <f t="shared" si="60"/>
        <v/>
      </c>
      <c r="AA283" s="609" t="str">
        <f t="shared" si="60"/>
        <v/>
      </c>
      <c r="AB283" s="609" t="str">
        <f t="shared" si="60"/>
        <v/>
      </c>
      <c r="AC283" s="609" t="str">
        <f t="shared" si="60"/>
        <v/>
      </c>
      <c r="AD283" s="609" t="str">
        <f t="shared" si="60"/>
        <v/>
      </c>
      <c r="AE283" s="609" t="str">
        <f t="shared" si="60"/>
        <v/>
      </c>
      <c r="AF283" s="609" t="str">
        <f t="shared" si="60"/>
        <v/>
      </c>
      <c r="AG283" s="609" t="str">
        <f t="shared" si="60"/>
        <v/>
      </c>
      <c r="AH283" s="609" t="str">
        <f t="shared" si="60"/>
        <v/>
      </c>
      <c r="AI283" s="609" t="str">
        <f t="shared" si="60"/>
        <v/>
      </c>
      <c r="AJ283" s="609" t="str">
        <f t="shared" si="60"/>
        <v/>
      </c>
      <c r="AK283" s="609" t="str">
        <f t="shared" si="60"/>
        <v/>
      </c>
      <c r="AL283" s="609" t="str">
        <f t="shared" si="60"/>
        <v/>
      </c>
      <c r="AM283" s="609" t="str">
        <f t="shared" si="60"/>
        <v/>
      </c>
      <c r="AN283" s="609" t="str">
        <f t="shared" si="60"/>
        <v/>
      </c>
      <c r="AO283" s="609" t="str">
        <f t="shared" si="60"/>
        <v/>
      </c>
      <c r="AP283" s="609" t="str">
        <f t="shared" si="60"/>
        <v/>
      </c>
      <c r="AQ283" s="609" t="str">
        <f t="shared" si="60"/>
        <v/>
      </c>
      <c r="AR283" s="609" t="str">
        <f t="shared" si="60"/>
        <v/>
      </c>
      <c r="AS283" s="609" t="str">
        <f t="shared" si="60"/>
        <v/>
      </c>
      <c r="AT283" s="609" t="str">
        <f t="shared" si="60"/>
        <v/>
      </c>
      <c r="AU283" s="609" t="str">
        <f t="shared" si="60"/>
        <v/>
      </c>
      <c r="AV283" s="609" t="str">
        <f t="shared" si="60"/>
        <v/>
      </c>
      <c r="AW283" s="609" t="str">
        <f t="shared" si="60"/>
        <v/>
      </c>
      <c r="AX283" s="609" t="str">
        <f t="shared" si="60"/>
        <v/>
      </c>
      <c r="AY283" s="609" t="str">
        <f t="shared" si="60"/>
        <v/>
      </c>
      <c r="AZ283" s="609" t="str">
        <f t="shared" si="60"/>
        <v/>
      </c>
      <c r="BA283" s="609" t="str">
        <f t="shared" si="60"/>
        <v/>
      </c>
      <c r="BB283" s="609" t="str">
        <f t="shared" si="60"/>
        <v/>
      </c>
      <c r="BC283" s="609" t="str">
        <f t="shared" si="60"/>
        <v/>
      </c>
      <c r="BD283" s="609" t="str">
        <f t="shared" si="60"/>
        <v/>
      </c>
      <c r="BE283" s="609" t="str">
        <f t="shared" si="60"/>
        <v/>
      </c>
      <c r="BF283" s="609" t="str">
        <f t="shared" si="60"/>
        <v/>
      </c>
      <c r="BG283" s="609" t="str">
        <f t="shared" si="60"/>
        <v/>
      </c>
    </row>
    <row r="284" spans="2:59" x14ac:dyDescent="0.25">
      <c r="B284" s="654">
        <v>278</v>
      </c>
      <c r="C284" s="654"/>
      <c r="D284" s="654"/>
      <c r="E284" s="655"/>
      <c r="F284" s="654"/>
      <c r="H284" s="609" t="str">
        <f t="shared" si="56"/>
        <v/>
      </c>
      <c r="I284" s="609" t="str">
        <f t="shared" si="60"/>
        <v/>
      </c>
      <c r="J284" s="609" t="str">
        <f t="shared" si="60"/>
        <v/>
      </c>
      <c r="K284" s="609" t="str">
        <f t="shared" si="60"/>
        <v/>
      </c>
      <c r="L284" s="609" t="str">
        <f t="shared" si="60"/>
        <v/>
      </c>
      <c r="M284" s="609" t="str">
        <f t="shared" si="60"/>
        <v/>
      </c>
      <c r="N284" s="609" t="str">
        <f t="shared" si="60"/>
        <v/>
      </c>
      <c r="O284" s="609" t="str">
        <f t="shared" si="60"/>
        <v/>
      </c>
      <c r="P284" s="609" t="str">
        <f t="shared" si="60"/>
        <v/>
      </c>
      <c r="Q284" s="609" t="str">
        <f t="shared" si="60"/>
        <v/>
      </c>
      <c r="R284" s="609" t="str">
        <f t="shared" si="60"/>
        <v/>
      </c>
      <c r="S284" s="609" t="str">
        <f t="shared" si="60"/>
        <v/>
      </c>
      <c r="T284" s="609" t="str">
        <f t="shared" si="60"/>
        <v/>
      </c>
      <c r="U284" s="609" t="str">
        <f t="shared" si="60"/>
        <v/>
      </c>
      <c r="V284" s="609" t="str">
        <f t="shared" si="60"/>
        <v/>
      </c>
      <c r="W284" s="609" t="str">
        <f t="shared" si="60"/>
        <v/>
      </c>
      <c r="X284" s="609" t="str">
        <f t="shared" si="60"/>
        <v/>
      </c>
      <c r="Y284" s="609" t="str">
        <f t="shared" si="60"/>
        <v/>
      </c>
      <c r="Z284" s="609" t="str">
        <f t="shared" si="60"/>
        <v/>
      </c>
      <c r="AA284" s="609" t="str">
        <f t="shared" si="60"/>
        <v/>
      </c>
      <c r="AB284" s="609" t="str">
        <f t="shared" si="60"/>
        <v/>
      </c>
      <c r="AC284" s="609" t="str">
        <f t="shared" si="60"/>
        <v/>
      </c>
      <c r="AD284" s="609" t="str">
        <f t="shared" si="60"/>
        <v/>
      </c>
      <c r="AE284" s="609" t="str">
        <f t="shared" si="60"/>
        <v/>
      </c>
      <c r="AF284" s="609" t="str">
        <f t="shared" si="60"/>
        <v/>
      </c>
      <c r="AG284" s="609" t="str">
        <f t="shared" si="60"/>
        <v/>
      </c>
      <c r="AH284" s="609" t="str">
        <f t="shared" si="60"/>
        <v/>
      </c>
      <c r="AI284" s="609" t="str">
        <f t="shared" si="60"/>
        <v/>
      </c>
      <c r="AJ284" s="609" t="str">
        <f t="shared" si="60"/>
        <v/>
      </c>
      <c r="AK284" s="609" t="str">
        <f t="shared" si="60"/>
        <v/>
      </c>
      <c r="AL284" s="609" t="str">
        <f t="shared" si="60"/>
        <v/>
      </c>
      <c r="AM284" s="609" t="str">
        <f t="shared" si="60"/>
        <v/>
      </c>
      <c r="AN284" s="609" t="str">
        <f t="shared" si="60"/>
        <v/>
      </c>
      <c r="AO284" s="609" t="str">
        <f t="shared" si="60"/>
        <v/>
      </c>
      <c r="AP284" s="609" t="str">
        <f t="shared" si="60"/>
        <v/>
      </c>
      <c r="AQ284" s="609" t="str">
        <f t="shared" si="60"/>
        <v/>
      </c>
      <c r="AR284" s="609" t="str">
        <f t="shared" si="60"/>
        <v/>
      </c>
      <c r="AS284" s="609" t="str">
        <f t="shared" si="60"/>
        <v/>
      </c>
      <c r="AT284" s="609" t="str">
        <f t="shared" si="60"/>
        <v/>
      </c>
      <c r="AU284" s="609" t="str">
        <f t="shared" si="60"/>
        <v/>
      </c>
      <c r="AV284" s="609" t="str">
        <f t="shared" si="60"/>
        <v/>
      </c>
      <c r="AW284" s="609" t="str">
        <f t="shared" si="60"/>
        <v/>
      </c>
      <c r="AX284" s="609" t="str">
        <f t="shared" si="60"/>
        <v/>
      </c>
      <c r="AY284" s="609" t="str">
        <f t="shared" si="60"/>
        <v/>
      </c>
      <c r="AZ284" s="609" t="str">
        <f t="shared" si="60"/>
        <v/>
      </c>
      <c r="BA284" s="609" t="str">
        <f t="shared" si="60"/>
        <v/>
      </c>
      <c r="BB284" s="609" t="str">
        <f t="shared" si="60"/>
        <v/>
      </c>
      <c r="BC284" s="609" t="str">
        <f t="shared" si="60"/>
        <v/>
      </c>
      <c r="BD284" s="609" t="str">
        <f t="shared" si="60"/>
        <v/>
      </c>
      <c r="BE284" s="609" t="str">
        <f t="shared" si="60"/>
        <v/>
      </c>
      <c r="BF284" s="609" t="str">
        <f t="shared" si="60"/>
        <v/>
      </c>
      <c r="BG284" s="609" t="str">
        <f t="shared" si="60"/>
        <v/>
      </c>
    </row>
    <row r="285" spans="2:59" x14ac:dyDescent="0.25">
      <c r="B285" s="654">
        <v>279</v>
      </c>
      <c r="C285" s="654"/>
      <c r="D285" s="654"/>
      <c r="E285" s="655"/>
      <c r="F285" s="654"/>
      <c r="H285" s="609" t="str">
        <f t="shared" si="56"/>
        <v/>
      </c>
      <c r="I285" s="609" t="str">
        <f t="shared" ref="I285:BG289" si="61">IF($D285=I$6,$B285&amp;", ","")</f>
        <v/>
      </c>
      <c r="J285" s="609" t="str">
        <f t="shared" si="61"/>
        <v/>
      </c>
      <c r="K285" s="609" t="str">
        <f t="shared" si="61"/>
        <v/>
      </c>
      <c r="L285" s="609" t="str">
        <f t="shared" si="61"/>
        <v/>
      </c>
      <c r="M285" s="609" t="str">
        <f t="shared" si="61"/>
        <v/>
      </c>
      <c r="N285" s="609" t="str">
        <f t="shared" si="61"/>
        <v/>
      </c>
      <c r="O285" s="609" t="str">
        <f t="shared" si="61"/>
        <v/>
      </c>
      <c r="P285" s="609" t="str">
        <f t="shared" si="61"/>
        <v/>
      </c>
      <c r="Q285" s="609" t="str">
        <f t="shared" si="61"/>
        <v/>
      </c>
      <c r="R285" s="609" t="str">
        <f t="shared" si="61"/>
        <v/>
      </c>
      <c r="S285" s="609" t="str">
        <f t="shared" si="61"/>
        <v/>
      </c>
      <c r="T285" s="609" t="str">
        <f t="shared" si="61"/>
        <v/>
      </c>
      <c r="U285" s="609" t="str">
        <f t="shared" si="61"/>
        <v/>
      </c>
      <c r="V285" s="609" t="str">
        <f t="shared" si="61"/>
        <v/>
      </c>
      <c r="W285" s="609" t="str">
        <f t="shared" si="61"/>
        <v/>
      </c>
      <c r="X285" s="609" t="str">
        <f t="shared" si="61"/>
        <v/>
      </c>
      <c r="Y285" s="609" t="str">
        <f t="shared" si="61"/>
        <v/>
      </c>
      <c r="Z285" s="609" t="str">
        <f t="shared" si="61"/>
        <v/>
      </c>
      <c r="AA285" s="609" t="str">
        <f t="shared" si="61"/>
        <v/>
      </c>
      <c r="AB285" s="609" t="str">
        <f t="shared" si="61"/>
        <v/>
      </c>
      <c r="AC285" s="609" t="str">
        <f t="shared" si="61"/>
        <v/>
      </c>
      <c r="AD285" s="609" t="str">
        <f t="shared" si="61"/>
        <v/>
      </c>
      <c r="AE285" s="609" t="str">
        <f t="shared" si="61"/>
        <v/>
      </c>
      <c r="AF285" s="609" t="str">
        <f t="shared" si="61"/>
        <v/>
      </c>
      <c r="AG285" s="609" t="str">
        <f t="shared" si="61"/>
        <v/>
      </c>
      <c r="AH285" s="609" t="str">
        <f t="shared" si="61"/>
        <v/>
      </c>
      <c r="AI285" s="609" t="str">
        <f t="shared" si="61"/>
        <v/>
      </c>
      <c r="AJ285" s="609" t="str">
        <f t="shared" si="61"/>
        <v/>
      </c>
      <c r="AK285" s="609" t="str">
        <f t="shared" si="61"/>
        <v/>
      </c>
      <c r="AL285" s="609" t="str">
        <f t="shared" si="61"/>
        <v/>
      </c>
      <c r="AM285" s="609" t="str">
        <f t="shared" si="61"/>
        <v/>
      </c>
      <c r="AN285" s="609" t="str">
        <f t="shared" si="61"/>
        <v/>
      </c>
      <c r="AO285" s="609" t="str">
        <f t="shared" si="61"/>
        <v/>
      </c>
      <c r="AP285" s="609" t="str">
        <f t="shared" si="61"/>
        <v/>
      </c>
      <c r="AQ285" s="609" t="str">
        <f t="shared" si="61"/>
        <v/>
      </c>
      <c r="AR285" s="609" t="str">
        <f t="shared" si="61"/>
        <v/>
      </c>
      <c r="AS285" s="609" t="str">
        <f t="shared" si="61"/>
        <v/>
      </c>
      <c r="AT285" s="609" t="str">
        <f t="shared" si="61"/>
        <v/>
      </c>
      <c r="AU285" s="609" t="str">
        <f t="shared" si="61"/>
        <v/>
      </c>
      <c r="AV285" s="609" t="str">
        <f t="shared" si="61"/>
        <v/>
      </c>
      <c r="AW285" s="609" t="str">
        <f t="shared" si="61"/>
        <v/>
      </c>
      <c r="AX285" s="609" t="str">
        <f t="shared" si="61"/>
        <v/>
      </c>
      <c r="AY285" s="609" t="str">
        <f t="shared" si="61"/>
        <v/>
      </c>
      <c r="AZ285" s="609" t="str">
        <f t="shared" si="61"/>
        <v/>
      </c>
      <c r="BA285" s="609" t="str">
        <f t="shared" si="61"/>
        <v/>
      </c>
      <c r="BB285" s="609" t="str">
        <f t="shared" si="61"/>
        <v/>
      </c>
      <c r="BC285" s="609" t="str">
        <f t="shared" si="61"/>
        <v/>
      </c>
      <c r="BD285" s="609" t="str">
        <f t="shared" si="61"/>
        <v/>
      </c>
      <c r="BE285" s="609" t="str">
        <f t="shared" si="61"/>
        <v/>
      </c>
      <c r="BF285" s="609" t="str">
        <f t="shared" si="61"/>
        <v/>
      </c>
      <c r="BG285" s="609" t="str">
        <f t="shared" si="61"/>
        <v/>
      </c>
    </row>
    <row r="286" spans="2:59" x14ac:dyDescent="0.25">
      <c r="B286" s="654">
        <v>280</v>
      </c>
      <c r="C286" s="654"/>
      <c r="D286" s="654"/>
      <c r="E286" s="655"/>
      <c r="F286" s="654"/>
      <c r="H286" s="609" t="str">
        <f t="shared" si="56"/>
        <v/>
      </c>
      <c r="I286" s="609" t="str">
        <f t="shared" si="61"/>
        <v/>
      </c>
      <c r="J286" s="609" t="str">
        <f t="shared" si="61"/>
        <v/>
      </c>
      <c r="K286" s="609" t="str">
        <f t="shared" si="61"/>
        <v/>
      </c>
      <c r="L286" s="609" t="str">
        <f t="shared" si="61"/>
        <v/>
      </c>
      <c r="M286" s="609" t="str">
        <f t="shared" si="61"/>
        <v/>
      </c>
      <c r="N286" s="609" t="str">
        <f t="shared" si="61"/>
        <v/>
      </c>
      <c r="O286" s="609" t="str">
        <f t="shared" si="61"/>
        <v/>
      </c>
      <c r="P286" s="609" t="str">
        <f t="shared" si="61"/>
        <v/>
      </c>
      <c r="Q286" s="609" t="str">
        <f t="shared" si="61"/>
        <v/>
      </c>
      <c r="R286" s="609" t="str">
        <f t="shared" si="61"/>
        <v/>
      </c>
      <c r="S286" s="609" t="str">
        <f t="shared" si="61"/>
        <v/>
      </c>
      <c r="T286" s="609" t="str">
        <f t="shared" si="61"/>
        <v/>
      </c>
      <c r="U286" s="609" t="str">
        <f t="shared" si="61"/>
        <v/>
      </c>
      <c r="V286" s="609" t="str">
        <f t="shared" si="61"/>
        <v/>
      </c>
      <c r="W286" s="609" t="str">
        <f t="shared" si="61"/>
        <v/>
      </c>
      <c r="X286" s="609" t="str">
        <f t="shared" si="61"/>
        <v/>
      </c>
      <c r="Y286" s="609" t="str">
        <f t="shared" si="61"/>
        <v/>
      </c>
      <c r="Z286" s="609" t="str">
        <f t="shared" si="61"/>
        <v/>
      </c>
      <c r="AA286" s="609" t="str">
        <f t="shared" si="61"/>
        <v/>
      </c>
      <c r="AB286" s="609" t="str">
        <f t="shared" si="61"/>
        <v/>
      </c>
      <c r="AC286" s="609" t="str">
        <f t="shared" si="61"/>
        <v/>
      </c>
      <c r="AD286" s="609" t="str">
        <f t="shared" si="61"/>
        <v/>
      </c>
      <c r="AE286" s="609" t="str">
        <f t="shared" si="61"/>
        <v/>
      </c>
      <c r="AF286" s="609" t="str">
        <f t="shared" si="61"/>
        <v/>
      </c>
      <c r="AG286" s="609" t="str">
        <f t="shared" si="61"/>
        <v/>
      </c>
      <c r="AH286" s="609" t="str">
        <f t="shared" si="61"/>
        <v/>
      </c>
      <c r="AI286" s="609" t="str">
        <f t="shared" si="61"/>
        <v/>
      </c>
      <c r="AJ286" s="609" t="str">
        <f t="shared" si="61"/>
        <v/>
      </c>
      <c r="AK286" s="609" t="str">
        <f t="shared" si="61"/>
        <v/>
      </c>
      <c r="AL286" s="609" t="str">
        <f t="shared" si="61"/>
        <v/>
      </c>
      <c r="AM286" s="609" t="str">
        <f t="shared" si="61"/>
        <v/>
      </c>
      <c r="AN286" s="609" t="str">
        <f t="shared" si="61"/>
        <v/>
      </c>
      <c r="AO286" s="609" t="str">
        <f t="shared" si="61"/>
        <v/>
      </c>
      <c r="AP286" s="609" t="str">
        <f t="shared" si="61"/>
        <v/>
      </c>
      <c r="AQ286" s="609" t="str">
        <f t="shared" si="61"/>
        <v/>
      </c>
      <c r="AR286" s="609" t="str">
        <f t="shared" si="61"/>
        <v/>
      </c>
      <c r="AS286" s="609" t="str">
        <f t="shared" si="61"/>
        <v/>
      </c>
      <c r="AT286" s="609" t="str">
        <f t="shared" si="61"/>
        <v/>
      </c>
      <c r="AU286" s="609" t="str">
        <f t="shared" si="61"/>
        <v/>
      </c>
      <c r="AV286" s="609" t="str">
        <f t="shared" si="61"/>
        <v/>
      </c>
      <c r="AW286" s="609" t="str">
        <f t="shared" si="61"/>
        <v/>
      </c>
      <c r="AX286" s="609" t="str">
        <f t="shared" si="61"/>
        <v/>
      </c>
      <c r="AY286" s="609" t="str">
        <f t="shared" si="61"/>
        <v/>
      </c>
      <c r="AZ286" s="609" t="str">
        <f t="shared" si="61"/>
        <v/>
      </c>
      <c r="BA286" s="609" t="str">
        <f t="shared" si="61"/>
        <v/>
      </c>
      <c r="BB286" s="609" t="str">
        <f t="shared" si="61"/>
        <v/>
      </c>
      <c r="BC286" s="609" t="str">
        <f t="shared" si="61"/>
        <v/>
      </c>
      <c r="BD286" s="609" t="str">
        <f t="shared" si="61"/>
        <v/>
      </c>
      <c r="BE286" s="609" t="str">
        <f t="shared" si="61"/>
        <v/>
      </c>
      <c r="BF286" s="609" t="str">
        <f t="shared" si="61"/>
        <v/>
      </c>
      <c r="BG286" s="609" t="str">
        <f t="shared" si="61"/>
        <v/>
      </c>
    </row>
    <row r="287" spans="2:59" x14ac:dyDescent="0.25">
      <c r="B287" s="654">
        <v>281</v>
      </c>
      <c r="C287" s="654"/>
      <c r="D287" s="654"/>
      <c r="E287" s="655"/>
      <c r="F287" s="654"/>
      <c r="H287" s="609" t="str">
        <f t="shared" si="56"/>
        <v/>
      </c>
      <c r="I287" s="609" t="str">
        <f t="shared" si="61"/>
        <v/>
      </c>
      <c r="J287" s="609" t="str">
        <f t="shared" si="61"/>
        <v/>
      </c>
      <c r="K287" s="609" t="str">
        <f t="shared" si="61"/>
        <v/>
      </c>
      <c r="L287" s="609" t="str">
        <f t="shared" si="61"/>
        <v/>
      </c>
      <c r="M287" s="609" t="str">
        <f t="shared" si="61"/>
        <v/>
      </c>
      <c r="N287" s="609" t="str">
        <f t="shared" si="61"/>
        <v/>
      </c>
      <c r="O287" s="609" t="str">
        <f t="shared" si="61"/>
        <v/>
      </c>
      <c r="P287" s="609" t="str">
        <f t="shared" si="61"/>
        <v/>
      </c>
      <c r="Q287" s="609" t="str">
        <f t="shared" si="61"/>
        <v/>
      </c>
      <c r="R287" s="609" t="str">
        <f t="shared" si="61"/>
        <v/>
      </c>
      <c r="S287" s="609" t="str">
        <f t="shared" si="61"/>
        <v/>
      </c>
      <c r="T287" s="609" t="str">
        <f t="shared" si="61"/>
        <v/>
      </c>
      <c r="U287" s="609" t="str">
        <f t="shared" si="61"/>
        <v/>
      </c>
      <c r="V287" s="609" t="str">
        <f t="shared" si="61"/>
        <v/>
      </c>
      <c r="W287" s="609" t="str">
        <f t="shared" si="61"/>
        <v/>
      </c>
      <c r="X287" s="609" t="str">
        <f t="shared" si="61"/>
        <v/>
      </c>
      <c r="Y287" s="609" t="str">
        <f t="shared" si="61"/>
        <v/>
      </c>
      <c r="Z287" s="609" t="str">
        <f t="shared" si="61"/>
        <v/>
      </c>
      <c r="AA287" s="609" t="str">
        <f t="shared" si="61"/>
        <v/>
      </c>
      <c r="AB287" s="609" t="str">
        <f t="shared" si="61"/>
        <v/>
      </c>
      <c r="AC287" s="609" t="str">
        <f t="shared" si="61"/>
        <v/>
      </c>
      <c r="AD287" s="609" t="str">
        <f t="shared" si="61"/>
        <v/>
      </c>
      <c r="AE287" s="609" t="str">
        <f t="shared" si="61"/>
        <v/>
      </c>
      <c r="AF287" s="609" t="str">
        <f t="shared" si="61"/>
        <v/>
      </c>
      <c r="AG287" s="609" t="str">
        <f t="shared" si="61"/>
        <v/>
      </c>
      <c r="AH287" s="609" t="str">
        <f t="shared" si="61"/>
        <v/>
      </c>
      <c r="AI287" s="609" t="str">
        <f t="shared" si="61"/>
        <v/>
      </c>
      <c r="AJ287" s="609" t="str">
        <f t="shared" si="61"/>
        <v/>
      </c>
      <c r="AK287" s="609" t="str">
        <f t="shared" si="61"/>
        <v/>
      </c>
      <c r="AL287" s="609" t="str">
        <f t="shared" si="61"/>
        <v/>
      </c>
      <c r="AM287" s="609" t="str">
        <f t="shared" si="61"/>
        <v/>
      </c>
      <c r="AN287" s="609" t="str">
        <f t="shared" si="61"/>
        <v/>
      </c>
      <c r="AO287" s="609" t="str">
        <f t="shared" si="61"/>
        <v/>
      </c>
      <c r="AP287" s="609" t="str">
        <f t="shared" si="61"/>
        <v/>
      </c>
      <c r="AQ287" s="609" t="str">
        <f t="shared" si="61"/>
        <v/>
      </c>
      <c r="AR287" s="609" t="str">
        <f t="shared" si="61"/>
        <v/>
      </c>
      <c r="AS287" s="609" t="str">
        <f t="shared" si="61"/>
        <v/>
      </c>
      <c r="AT287" s="609" t="str">
        <f t="shared" si="61"/>
        <v/>
      </c>
      <c r="AU287" s="609" t="str">
        <f t="shared" si="61"/>
        <v/>
      </c>
      <c r="AV287" s="609" t="str">
        <f t="shared" si="61"/>
        <v/>
      </c>
      <c r="AW287" s="609" t="str">
        <f t="shared" si="61"/>
        <v/>
      </c>
      <c r="AX287" s="609" t="str">
        <f t="shared" si="61"/>
        <v/>
      </c>
      <c r="AY287" s="609" t="str">
        <f t="shared" si="61"/>
        <v/>
      </c>
      <c r="AZ287" s="609" t="str">
        <f t="shared" si="61"/>
        <v/>
      </c>
      <c r="BA287" s="609" t="str">
        <f t="shared" si="61"/>
        <v/>
      </c>
      <c r="BB287" s="609" t="str">
        <f t="shared" si="61"/>
        <v/>
      </c>
      <c r="BC287" s="609" t="str">
        <f t="shared" si="61"/>
        <v/>
      </c>
      <c r="BD287" s="609" t="str">
        <f t="shared" si="61"/>
        <v/>
      </c>
      <c r="BE287" s="609" t="str">
        <f t="shared" si="61"/>
        <v/>
      </c>
      <c r="BF287" s="609" t="str">
        <f t="shared" si="61"/>
        <v/>
      </c>
      <c r="BG287" s="609" t="str">
        <f t="shared" si="61"/>
        <v/>
      </c>
    </row>
    <row r="288" spans="2:59" x14ac:dyDescent="0.25">
      <c r="B288" s="654">
        <v>282</v>
      </c>
      <c r="C288" s="654"/>
      <c r="D288" s="654"/>
      <c r="E288" s="655"/>
      <c r="F288" s="654"/>
      <c r="H288" s="609" t="str">
        <f t="shared" si="56"/>
        <v/>
      </c>
      <c r="I288" s="609" t="str">
        <f t="shared" si="61"/>
        <v/>
      </c>
      <c r="J288" s="609" t="str">
        <f t="shared" si="61"/>
        <v/>
      </c>
      <c r="K288" s="609" t="str">
        <f t="shared" si="61"/>
        <v/>
      </c>
      <c r="L288" s="609" t="str">
        <f t="shared" si="61"/>
        <v/>
      </c>
      <c r="M288" s="609" t="str">
        <f t="shared" si="61"/>
        <v/>
      </c>
      <c r="N288" s="609" t="str">
        <f t="shared" si="61"/>
        <v/>
      </c>
      <c r="O288" s="609" t="str">
        <f t="shared" si="61"/>
        <v/>
      </c>
      <c r="P288" s="609" t="str">
        <f t="shared" si="61"/>
        <v/>
      </c>
      <c r="Q288" s="609" t="str">
        <f t="shared" si="61"/>
        <v/>
      </c>
      <c r="R288" s="609" t="str">
        <f t="shared" si="61"/>
        <v/>
      </c>
      <c r="S288" s="609" t="str">
        <f t="shared" si="61"/>
        <v/>
      </c>
      <c r="T288" s="609" t="str">
        <f t="shared" si="61"/>
        <v/>
      </c>
      <c r="U288" s="609" t="str">
        <f t="shared" si="61"/>
        <v/>
      </c>
      <c r="V288" s="609" t="str">
        <f t="shared" si="61"/>
        <v/>
      </c>
      <c r="W288" s="609" t="str">
        <f t="shared" si="61"/>
        <v/>
      </c>
      <c r="X288" s="609" t="str">
        <f t="shared" si="61"/>
        <v/>
      </c>
      <c r="Y288" s="609" t="str">
        <f t="shared" si="61"/>
        <v/>
      </c>
      <c r="Z288" s="609" t="str">
        <f t="shared" si="61"/>
        <v/>
      </c>
      <c r="AA288" s="609" t="str">
        <f t="shared" si="61"/>
        <v/>
      </c>
      <c r="AB288" s="609" t="str">
        <f t="shared" si="61"/>
        <v/>
      </c>
      <c r="AC288" s="609" t="str">
        <f t="shared" si="61"/>
        <v/>
      </c>
      <c r="AD288" s="609" t="str">
        <f t="shared" si="61"/>
        <v/>
      </c>
      <c r="AE288" s="609" t="str">
        <f t="shared" si="61"/>
        <v/>
      </c>
      <c r="AF288" s="609" t="str">
        <f t="shared" si="61"/>
        <v/>
      </c>
      <c r="AG288" s="609" t="str">
        <f t="shared" si="61"/>
        <v/>
      </c>
      <c r="AH288" s="609" t="str">
        <f t="shared" si="61"/>
        <v/>
      </c>
      <c r="AI288" s="609" t="str">
        <f t="shared" si="61"/>
        <v/>
      </c>
      <c r="AJ288" s="609" t="str">
        <f t="shared" si="61"/>
        <v/>
      </c>
      <c r="AK288" s="609" t="str">
        <f t="shared" si="61"/>
        <v/>
      </c>
      <c r="AL288" s="609" t="str">
        <f t="shared" si="61"/>
        <v/>
      </c>
      <c r="AM288" s="609" t="str">
        <f t="shared" si="61"/>
        <v/>
      </c>
      <c r="AN288" s="609" t="str">
        <f t="shared" si="61"/>
        <v/>
      </c>
      <c r="AO288" s="609" t="str">
        <f t="shared" si="61"/>
        <v/>
      </c>
      <c r="AP288" s="609" t="str">
        <f t="shared" si="61"/>
        <v/>
      </c>
      <c r="AQ288" s="609" t="str">
        <f t="shared" si="61"/>
        <v/>
      </c>
      <c r="AR288" s="609" t="str">
        <f t="shared" si="61"/>
        <v/>
      </c>
      <c r="AS288" s="609" t="str">
        <f t="shared" si="61"/>
        <v/>
      </c>
      <c r="AT288" s="609" t="str">
        <f t="shared" si="61"/>
        <v/>
      </c>
      <c r="AU288" s="609" t="str">
        <f t="shared" si="61"/>
        <v/>
      </c>
      <c r="AV288" s="609" t="str">
        <f t="shared" si="61"/>
        <v/>
      </c>
      <c r="AW288" s="609" t="str">
        <f t="shared" si="61"/>
        <v/>
      </c>
      <c r="AX288" s="609" t="str">
        <f t="shared" si="61"/>
        <v/>
      </c>
      <c r="AY288" s="609" t="str">
        <f t="shared" si="61"/>
        <v/>
      </c>
      <c r="AZ288" s="609" t="str">
        <f t="shared" si="61"/>
        <v/>
      </c>
      <c r="BA288" s="609" t="str">
        <f t="shared" si="61"/>
        <v/>
      </c>
      <c r="BB288" s="609" t="str">
        <f t="shared" si="61"/>
        <v/>
      </c>
      <c r="BC288" s="609" t="str">
        <f t="shared" si="61"/>
        <v/>
      </c>
      <c r="BD288" s="609" t="str">
        <f t="shared" si="61"/>
        <v/>
      </c>
      <c r="BE288" s="609" t="str">
        <f t="shared" si="61"/>
        <v/>
      </c>
      <c r="BF288" s="609" t="str">
        <f t="shared" si="61"/>
        <v/>
      </c>
      <c r="BG288" s="609" t="str">
        <f t="shared" si="61"/>
        <v/>
      </c>
    </row>
    <row r="289" spans="2:59" x14ac:dyDescent="0.25">
      <c r="B289" s="654">
        <v>283</v>
      </c>
      <c r="C289" s="654"/>
      <c r="D289" s="654"/>
      <c r="E289" s="655"/>
      <c r="F289" s="654"/>
      <c r="H289" s="609" t="str">
        <f t="shared" si="56"/>
        <v/>
      </c>
      <c r="I289" s="609" t="str">
        <f t="shared" si="61"/>
        <v/>
      </c>
      <c r="J289" s="609" t="str">
        <f t="shared" si="61"/>
        <v/>
      </c>
      <c r="K289" s="609" t="str">
        <f t="shared" si="61"/>
        <v/>
      </c>
      <c r="L289" s="609" t="str">
        <f t="shared" si="61"/>
        <v/>
      </c>
      <c r="M289" s="609" t="str">
        <f t="shared" si="61"/>
        <v/>
      </c>
      <c r="N289" s="609" t="str">
        <f t="shared" si="61"/>
        <v/>
      </c>
      <c r="O289" s="609" t="str">
        <f t="shared" si="61"/>
        <v/>
      </c>
      <c r="P289" s="609" t="str">
        <f t="shared" si="61"/>
        <v/>
      </c>
      <c r="Q289" s="609" t="str">
        <f t="shared" si="61"/>
        <v/>
      </c>
      <c r="R289" s="609" t="str">
        <f t="shared" si="61"/>
        <v/>
      </c>
      <c r="S289" s="609" t="str">
        <f t="shared" si="61"/>
        <v/>
      </c>
      <c r="T289" s="609" t="str">
        <f t="shared" si="61"/>
        <v/>
      </c>
      <c r="U289" s="609" t="str">
        <f t="shared" si="61"/>
        <v/>
      </c>
      <c r="V289" s="609" t="str">
        <f t="shared" si="61"/>
        <v/>
      </c>
      <c r="W289" s="609" t="str">
        <f t="shared" si="61"/>
        <v/>
      </c>
      <c r="X289" s="609" t="str">
        <f t="shared" si="61"/>
        <v/>
      </c>
      <c r="Y289" s="609" t="str">
        <f t="shared" si="61"/>
        <v/>
      </c>
      <c r="Z289" s="609" t="str">
        <f t="shared" si="61"/>
        <v/>
      </c>
      <c r="AA289" s="609" t="str">
        <f t="shared" si="61"/>
        <v/>
      </c>
      <c r="AB289" s="609" t="str">
        <f t="shared" si="61"/>
        <v/>
      </c>
      <c r="AC289" s="609" t="str">
        <f t="shared" si="61"/>
        <v/>
      </c>
      <c r="AD289" s="609" t="str">
        <f t="shared" si="61"/>
        <v/>
      </c>
      <c r="AE289" s="609" t="str">
        <f t="shared" si="61"/>
        <v/>
      </c>
      <c r="AF289" s="609" t="str">
        <f t="shared" si="61"/>
        <v/>
      </c>
      <c r="AG289" s="609" t="str">
        <f t="shared" si="61"/>
        <v/>
      </c>
      <c r="AH289" s="609" t="str">
        <f t="shared" si="61"/>
        <v/>
      </c>
      <c r="AI289" s="609" t="str">
        <f t="shared" si="61"/>
        <v/>
      </c>
      <c r="AJ289" s="609" t="str">
        <f t="shared" si="61"/>
        <v/>
      </c>
      <c r="AK289" s="609" t="str">
        <f t="shared" si="61"/>
        <v/>
      </c>
      <c r="AL289" s="609" t="str">
        <f t="shared" si="61"/>
        <v/>
      </c>
      <c r="AM289" s="609" t="str">
        <f t="shared" si="61"/>
        <v/>
      </c>
      <c r="AN289" s="609" t="str">
        <f t="shared" si="61"/>
        <v/>
      </c>
      <c r="AO289" s="609" t="str">
        <f t="shared" si="61"/>
        <v/>
      </c>
      <c r="AP289" s="609" t="str">
        <f t="shared" si="61"/>
        <v/>
      </c>
      <c r="AQ289" s="609" t="str">
        <f t="shared" si="61"/>
        <v/>
      </c>
      <c r="AR289" s="609" t="str">
        <f t="shared" si="61"/>
        <v/>
      </c>
      <c r="AS289" s="609" t="str">
        <f t="shared" si="61"/>
        <v/>
      </c>
      <c r="AT289" s="609" t="str">
        <f t="shared" si="61"/>
        <v/>
      </c>
      <c r="AU289" s="609" t="str">
        <f t="shared" si="61"/>
        <v/>
      </c>
      <c r="AV289" s="609" t="str">
        <f t="shared" si="61"/>
        <v/>
      </c>
      <c r="AW289" s="609" t="str">
        <f t="shared" si="61"/>
        <v/>
      </c>
      <c r="AX289" s="609" t="str">
        <f t="shared" si="61"/>
        <v/>
      </c>
      <c r="AY289" s="609" t="str">
        <f t="shared" si="61"/>
        <v/>
      </c>
      <c r="AZ289" s="609" t="str">
        <f t="shared" si="61"/>
        <v/>
      </c>
      <c r="BA289" s="609" t="str">
        <f t="shared" si="61"/>
        <v/>
      </c>
      <c r="BB289" s="609" t="str">
        <f t="shared" si="61"/>
        <v/>
      </c>
      <c r="BC289" s="609" t="str">
        <f t="shared" si="61"/>
        <v/>
      </c>
      <c r="BD289" s="609" t="str">
        <f t="shared" si="61"/>
        <v/>
      </c>
      <c r="BE289" s="609" t="str">
        <f t="shared" si="61"/>
        <v/>
      </c>
      <c r="BF289" s="609" t="str">
        <f t="shared" si="61"/>
        <v/>
      </c>
      <c r="BG289" s="609" t="str">
        <f t="shared" si="61"/>
        <v/>
      </c>
    </row>
    <row r="290" spans="2:59" x14ac:dyDescent="0.25">
      <c r="B290" s="654">
        <v>284</v>
      </c>
      <c r="C290" s="654"/>
      <c r="D290" s="654"/>
      <c r="E290" s="655"/>
      <c r="F290" s="654"/>
      <c r="H290" s="609" t="str">
        <f t="shared" si="56"/>
        <v/>
      </c>
      <c r="I290" s="609" t="str">
        <f t="shared" ref="I290:BG294" si="62">IF($D290=I$6,$B290&amp;", ","")</f>
        <v/>
      </c>
      <c r="J290" s="609" t="str">
        <f t="shared" si="62"/>
        <v/>
      </c>
      <c r="K290" s="609" t="str">
        <f t="shared" si="62"/>
        <v/>
      </c>
      <c r="L290" s="609" t="str">
        <f t="shared" si="62"/>
        <v/>
      </c>
      <c r="M290" s="609" t="str">
        <f t="shared" si="62"/>
        <v/>
      </c>
      <c r="N290" s="609" t="str">
        <f t="shared" si="62"/>
        <v/>
      </c>
      <c r="O290" s="609" t="str">
        <f t="shared" si="62"/>
        <v/>
      </c>
      <c r="P290" s="609" t="str">
        <f t="shared" si="62"/>
        <v/>
      </c>
      <c r="Q290" s="609" t="str">
        <f t="shared" si="62"/>
        <v/>
      </c>
      <c r="R290" s="609" t="str">
        <f t="shared" si="62"/>
        <v/>
      </c>
      <c r="S290" s="609" t="str">
        <f t="shared" si="62"/>
        <v/>
      </c>
      <c r="T290" s="609" t="str">
        <f t="shared" si="62"/>
        <v/>
      </c>
      <c r="U290" s="609" t="str">
        <f t="shared" si="62"/>
        <v/>
      </c>
      <c r="V290" s="609" t="str">
        <f t="shared" si="62"/>
        <v/>
      </c>
      <c r="W290" s="609" t="str">
        <f t="shared" si="62"/>
        <v/>
      </c>
      <c r="X290" s="609" t="str">
        <f t="shared" si="62"/>
        <v/>
      </c>
      <c r="Y290" s="609" t="str">
        <f t="shared" si="62"/>
        <v/>
      </c>
      <c r="Z290" s="609" t="str">
        <f t="shared" si="62"/>
        <v/>
      </c>
      <c r="AA290" s="609" t="str">
        <f t="shared" si="62"/>
        <v/>
      </c>
      <c r="AB290" s="609" t="str">
        <f t="shared" si="62"/>
        <v/>
      </c>
      <c r="AC290" s="609" t="str">
        <f t="shared" si="62"/>
        <v/>
      </c>
      <c r="AD290" s="609" t="str">
        <f t="shared" si="62"/>
        <v/>
      </c>
      <c r="AE290" s="609" t="str">
        <f t="shared" si="62"/>
        <v/>
      </c>
      <c r="AF290" s="609" t="str">
        <f t="shared" si="62"/>
        <v/>
      </c>
      <c r="AG290" s="609" t="str">
        <f t="shared" si="62"/>
        <v/>
      </c>
      <c r="AH290" s="609" t="str">
        <f t="shared" si="62"/>
        <v/>
      </c>
      <c r="AI290" s="609" t="str">
        <f t="shared" si="62"/>
        <v/>
      </c>
      <c r="AJ290" s="609" t="str">
        <f t="shared" si="62"/>
        <v/>
      </c>
      <c r="AK290" s="609" t="str">
        <f t="shared" si="62"/>
        <v/>
      </c>
      <c r="AL290" s="609" t="str">
        <f t="shared" si="62"/>
        <v/>
      </c>
      <c r="AM290" s="609" t="str">
        <f t="shared" si="62"/>
        <v/>
      </c>
      <c r="AN290" s="609" t="str">
        <f t="shared" si="62"/>
        <v/>
      </c>
      <c r="AO290" s="609" t="str">
        <f t="shared" si="62"/>
        <v/>
      </c>
      <c r="AP290" s="609" t="str">
        <f t="shared" si="62"/>
        <v/>
      </c>
      <c r="AQ290" s="609" t="str">
        <f t="shared" si="62"/>
        <v/>
      </c>
      <c r="AR290" s="609" t="str">
        <f t="shared" si="62"/>
        <v/>
      </c>
      <c r="AS290" s="609" t="str">
        <f t="shared" si="62"/>
        <v/>
      </c>
      <c r="AT290" s="609" t="str">
        <f t="shared" si="62"/>
        <v/>
      </c>
      <c r="AU290" s="609" t="str">
        <f t="shared" si="62"/>
        <v/>
      </c>
      <c r="AV290" s="609" t="str">
        <f t="shared" si="62"/>
        <v/>
      </c>
      <c r="AW290" s="609" t="str">
        <f t="shared" si="62"/>
        <v/>
      </c>
      <c r="AX290" s="609" t="str">
        <f t="shared" si="62"/>
        <v/>
      </c>
      <c r="AY290" s="609" t="str">
        <f t="shared" si="62"/>
        <v/>
      </c>
      <c r="AZ290" s="609" t="str">
        <f t="shared" si="62"/>
        <v/>
      </c>
      <c r="BA290" s="609" t="str">
        <f t="shared" si="62"/>
        <v/>
      </c>
      <c r="BB290" s="609" t="str">
        <f t="shared" si="62"/>
        <v/>
      </c>
      <c r="BC290" s="609" t="str">
        <f t="shared" si="62"/>
        <v/>
      </c>
      <c r="BD290" s="609" t="str">
        <f t="shared" si="62"/>
        <v/>
      </c>
      <c r="BE290" s="609" t="str">
        <f t="shared" si="62"/>
        <v/>
      </c>
      <c r="BF290" s="609" t="str">
        <f t="shared" si="62"/>
        <v/>
      </c>
      <c r="BG290" s="609" t="str">
        <f t="shared" si="62"/>
        <v/>
      </c>
    </row>
    <row r="291" spans="2:59" x14ac:dyDescent="0.25">
      <c r="B291" s="654">
        <v>285</v>
      </c>
      <c r="C291" s="654"/>
      <c r="D291" s="654"/>
      <c r="E291" s="655"/>
      <c r="F291" s="654"/>
      <c r="H291" s="609" t="str">
        <f t="shared" si="56"/>
        <v/>
      </c>
      <c r="I291" s="609" t="str">
        <f t="shared" si="62"/>
        <v/>
      </c>
      <c r="J291" s="609" t="str">
        <f t="shared" si="62"/>
        <v/>
      </c>
      <c r="K291" s="609" t="str">
        <f t="shared" si="62"/>
        <v/>
      </c>
      <c r="L291" s="609" t="str">
        <f t="shared" si="62"/>
        <v/>
      </c>
      <c r="M291" s="609" t="str">
        <f t="shared" si="62"/>
        <v/>
      </c>
      <c r="N291" s="609" t="str">
        <f t="shared" si="62"/>
        <v/>
      </c>
      <c r="O291" s="609" t="str">
        <f t="shared" si="62"/>
        <v/>
      </c>
      <c r="P291" s="609" t="str">
        <f t="shared" si="62"/>
        <v/>
      </c>
      <c r="Q291" s="609" t="str">
        <f t="shared" si="62"/>
        <v/>
      </c>
      <c r="R291" s="609" t="str">
        <f t="shared" si="62"/>
        <v/>
      </c>
      <c r="S291" s="609" t="str">
        <f t="shared" si="62"/>
        <v/>
      </c>
      <c r="T291" s="609" t="str">
        <f t="shared" si="62"/>
        <v/>
      </c>
      <c r="U291" s="609" t="str">
        <f t="shared" si="62"/>
        <v/>
      </c>
      <c r="V291" s="609" t="str">
        <f t="shared" si="62"/>
        <v/>
      </c>
      <c r="W291" s="609" t="str">
        <f t="shared" si="62"/>
        <v/>
      </c>
      <c r="X291" s="609" t="str">
        <f t="shared" si="62"/>
        <v/>
      </c>
      <c r="Y291" s="609" t="str">
        <f t="shared" si="62"/>
        <v/>
      </c>
      <c r="Z291" s="609" t="str">
        <f t="shared" si="62"/>
        <v/>
      </c>
      <c r="AA291" s="609" t="str">
        <f t="shared" si="62"/>
        <v/>
      </c>
      <c r="AB291" s="609" t="str">
        <f t="shared" si="62"/>
        <v/>
      </c>
      <c r="AC291" s="609" t="str">
        <f t="shared" si="62"/>
        <v/>
      </c>
      <c r="AD291" s="609" t="str">
        <f t="shared" si="62"/>
        <v/>
      </c>
      <c r="AE291" s="609" t="str">
        <f t="shared" si="62"/>
        <v/>
      </c>
      <c r="AF291" s="609" t="str">
        <f t="shared" si="62"/>
        <v/>
      </c>
      <c r="AG291" s="609" t="str">
        <f t="shared" si="62"/>
        <v/>
      </c>
      <c r="AH291" s="609" t="str">
        <f t="shared" si="62"/>
        <v/>
      </c>
      <c r="AI291" s="609" t="str">
        <f t="shared" si="62"/>
        <v/>
      </c>
      <c r="AJ291" s="609" t="str">
        <f t="shared" si="62"/>
        <v/>
      </c>
      <c r="AK291" s="609" t="str">
        <f t="shared" si="62"/>
        <v/>
      </c>
      <c r="AL291" s="609" t="str">
        <f t="shared" si="62"/>
        <v/>
      </c>
      <c r="AM291" s="609" t="str">
        <f t="shared" si="62"/>
        <v/>
      </c>
      <c r="AN291" s="609" t="str">
        <f t="shared" si="62"/>
        <v/>
      </c>
      <c r="AO291" s="609" t="str">
        <f t="shared" si="62"/>
        <v/>
      </c>
      <c r="AP291" s="609" t="str">
        <f t="shared" si="62"/>
        <v/>
      </c>
      <c r="AQ291" s="609" t="str">
        <f t="shared" si="62"/>
        <v/>
      </c>
      <c r="AR291" s="609" t="str">
        <f t="shared" si="62"/>
        <v/>
      </c>
      <c r="AS291" s="609" t="str">
        <f t="shared" si="62"/>
        <v/>
      </c>
      <c r="AT291" s="609" t="str">
        <f t="shared" si="62"/>
        <v/>
      </c>
      <c r="AU291" s="609" t="str">
        <f t="shared" si="62"/>
        <v/>
      </c>
      <c r="AV291" s="609" t="str">
        <f t="shared" si="62"/>
        <v/>
      </c>
      <c r="AW291" s="609" t="str">
        <f t="shared" si="62"/>
        <v/>
      </c>
      <c r="AX291" s="609" t="str">
        <f t="shared" si="62"/>
        <v/>
      </c>
      <c r="AY291" s="609" t="str">
        <f t="shared" si="62"/>
        <v/>
      </c>
      <c r="AZ291" s="609" t="str">
        <f t="shared" si="62"/>
        <v/>
      </c>
      <c r="BA291" s="609" t="str">
        <f t="shared" si="62"/>
        <v/>
      </c>
      <c r="BB291" s="609" t="str">
        <f t="shared" si="62"/>
        <v/>
      </c>
      <c r="BC291" s="609" t="str">
        <f t="shared" si="62"/>
        <v/>
      </c>
      <c r="BD291" s="609" t="str">
        <f t="shared" si="62"/>
        <v/>
      </c>
      <c r="BE291" s="609" t="str">
        <f t="shared" si="62"/>
        <v/>
      </c>
      <c r="BF291" s="609" t="str">
        <f t="shared" si="62"/>
        <v/>
      </c>
      <c r="BG291" s="609" t="str">
        <f t="shared" si="62"/>
        <v/>
      </c>
    </row>
    <row r="292" spans="2:59" x14ac:dyDescent="0.25">
      <c r="B292" s="654">
        <v>286</v>
      </c>
      <c r="C292" s="654"/>
      <c r="D292" s="654"/>
      <c r="E292" s="655"/>
      <c r="F292" s="654"/>
      <c r="H292" s="609" t="str">
        <f t="shared" si="56"/>
        <v/>
      </c>
      <c r="I292" s="609" t="str">
        <f t="shared" si="62"/>
        <v/>
      </c>
      <c r="J292" s="609" t="str">
        <f t="shared" si="62"/>
        <v/>
      </c>
      <c r="K292" s="609" t="str">
        <f t="shared" si="62"/>
        <v/>
      </c>
      <c r="L292" s="609" t="str">
        <f t="shared" si="62"/>
        <v/>
      </c>
      <c r="M292" s="609" t="str">
        <f t="shared" si="62"/>
        <v/>
      </c>
      <c r="N292" s="609" t="str">
        <f t="shared" si="62"/>
        <v/>
      </c>
      <c r="O292" s="609" t="str">
        <f t="shared" si="62"/>
        <v/>
      </c>
      <c r="P292" s="609" t="str">
        <f t="shared" si="62"/>
        <v/>
      </c>
      <c r="Q292" s="609" t="str">
        <f t="shared" si="62"/>
        <v/>
      </c>
      <c r="R292" s="609" t="str">
        <f t="shared" si="62"/>
        <v/>
      </c>
      <c r="S292" s="609" t="str">
        <f t="shared" si="62"/>
        <v/>
      </c>
      <c r="T292" s="609" t="str">
        <f t="shared" si="62"/>
        <v/>
      </c>
      <c r="U292" s="609" t="str">
        <f t="shared" si="62"/>
        <v/>
      </c>
      <c r="V292" s="609" t="str">
        <f t="shared" si="62"/>
        <v/>
      </c>
      <c r="W292" s="609" t="str">
        <f t="shared" si="62"/>
        <v/>
      </c>
      <c r="X292" s="609" t="str">
        <f t="shared" si="62"/>
        <v/>
      </c>
      <c r="Y292" s="609" t="str">
        <f t="shared" si="62"/>
        <v/>
      </c>
      <c r="Z292" s="609" t="str">
        <f t="shared" si="62"/>
        <v/>
      </c>
      <c r="AA292" s="609" t="str">
        <f t="shared" si="62"/>
        <v/>
      </c>
      <c r="AB292" s="609" t="str">
        <f t="shared" si="62"/>
        <v/>
      </c>
      <c r="AC292" s="609" t="str">
        <f t="shared" si="62"/>
        <v/>
      </c>
      <c r="AD292" s="609" t="str">
        <f t="shared" si="62"/>
        <v/>
      </c>
      <c r="AE292" s="609" t="str">
        <f t="shared" si="62"/>
        <v/>
      </c>
      <c r="AF292" s="609" t="str">
        <f t="shared" si="62"/>
        <v/>
      </c>
      <c r="AG292" s="609" t="str">
        <f t="shared" si="62"/>
        <v/>
      </c>
      <c r="AH292" s="609" t="str">
        <f t="shared" si="62"/>
        <v/>
      </c>
      <c r="AI292" s="609" t="str">
        <f t="shared" si="62"/>
        <v/>
      </c>
      <c r="AJ292" s="609" t="str">
        <f t="shared" si="62"/>
        <v/>
      </c>
      <c r="AK292" s="609" t="str">
        <f t="shared" si="62"/>
        <v/>
      </c>
      <c r="AL292" s="609" t="str">
        <f t="shared" si="62"/>
        <v/>
      </c>
      <c r="AM292" s="609" t="str">
        <f t="shared" si="62"/>
        <v/>
      </c>
      <c r="AN292" s="609" t="str">
        <f t="shared" si="62"/>
        <v/>
      </c>
      <c r="AO292" s="609" t="str">
        <f t="shared" si="62"/>
        <v/>
      </c>
      <c r="AP292" s="609" t="str">
        <f t="shared" si="62"/>
        <v/>
      </c>
      <c r="AQ292" s="609" t="str">
        <f t="shared" si="62"/>
        <v/>
      </c>
      <c r="AR292" s="609" t="str">
        <f t="shared" si="62"/>
        <v/>
      </c>
      <c r="AS292" s="609" t="str">
        <f t="shared" si="62"/>
        <v/>
      </c>
      <c r="AT292" s="609" t="str">
        <f t="shared" si="62"/>
        <v/>
      </c>
      <c r="AU292" s="609" t="str">
        <f t="shared" si="62"/>
        <v/>
      </c>
      <c r="AV292" s="609" t="str">
        <f t="shared" si="62"/>
        <v/>
      </c>
      <c r="AW292" s="609" t="str">
        <f t="shared" si="62"/>
        <v/>
      </c>
      <c r="AX292" s="609" t="str">
        <f t="shared" si="62"/>
        <v/>
      </c>
      <c r="AY292" s="609" t="str">
        <f t="shared" si="62"/>
        <v/>
      </c>
      <c r="AZ292" s="609" t="str">
        <f t="shared" si="62"/>
        <v/>
      </c>
      <c r="BA292" s="609" t="str">
        <f t="shared" si="62"/>
        <v/>
      </c>
      <c r="BB292" s="609" t="str">
        <f t="shared" si="62"/>
        <v/>
      </c>
      <c r="BC292" s="609" t="str">
        <f t="shared" si="62"/>
        <v/>
      </c>
      <c r="BD292" s="609" t="str">
        <f t="shared" si="62"/>
        <v/>
      </c>
      <c r="BE292" s="609" t="str">
        <f t="shared" si="62"/>
        <v/>
      </c>
      <c r="BF292" s="609" t="str">
        <f t="shared" si="62"/>
        <v/>
      </c>
      <c r="BG292" s="609" t="str">
        <f t="shared" si="62"/>
        <v/>
      </c>
    </row>
    <row r="293" spans="2:59" x14ac:dyDescent="0.25">
      <c r="B293" s="654">
        <v>287</v>
      </c>
      <c r="C293" s="654"/>
      <c r="D293" s="654"/>
      <c r="E293" s="655"/>
      <c r="F293" s="654"/>
      <c r="H293" s="609" t="str">
        <f t="shared" si="56"/>
        <v/>
      </c>
      <c r="I293" s="609" t="str">
        <f t="shared" si="62"/>
        <v/>
      </c>
      <c r="J293" s="609" t="str">
        <f t="shared" si="62"/>
        <v/>
      </c>
      <c r="K293" s="609" t="str">
        <f t="shared" si="62"/>
        <v/>
      </c>
      <c r="L293" s="609" t="str">
        <f t="shared" si="62"/>
        <v/>
      </c>
      <c r="M293" s="609" t="str">
        <f t="shared" si="62"/>
        <v/>
      </c>
      <c r="N293" s="609" t="str">
        <f t="shared" si="62"/>
        <v/>
      </c>
      <c r="O293" s="609" t="str">
        <f t="shared" si="62"/>
        <v/>
      </c>
      <c r="P293" s="609" t="str">
        <f t="shared" si="62"/>
        <v/>
      </c>
      <c r="Q293" s="609" t="str">
        <f t="shared" si="62"/>
        <v/>
      </c>
      <c r="R293" s="609" t="str">
        <f t="shared" si="62"/>
        <v/>
      </c>
      <c r="S293" s="609" t="str">
        <f t="shared" si="62"/>
        <v/>
      </c>
      <c r="T293" s="609" t="str">
        <f t="shared" si="62"/>
        <v/>
      </c>
      <c r="U293" s="609" t="str">
        <f t="shared" si="62"/>
        <v/>
      </c>
      <c r="V293" s="609" t="str">
        <f t="shared" si="62"/>
        <v/>
      </c>
      <c r="W293" s="609" t="str">
        <f t="shared" si="62"/>
        <v/>
      </c>
      <c r="X293" s="609" t="str">
        <f t="shared" si="62"/>
        <v/>
      </c>
      <c r="Y293" s="609" t="str">
        <f t="shared" si="62"/>
        <v/>
      </c>
      <c r="Z293" s="609" t="str">
        <f t="shared" si="62"/>
        <v/>
      </c>
      <c r="AA293" s="609" t="str">
        <f t="shared" si="62"/>
        <v/>
      </c>
      <c r="AB293" s="609" t="str">
        <f t="shared" si="62"/>
        <v/>
      </c>
      <c r="AC293" s="609" t="str">
        <f t="shared" si="62"/>
        <v/>
      </c>
      <c r="AD293" s="609" t="str">
        <f t="shared" si="62"/>
        <v/>
      </c>
      <c r="AE293" s="609" t="str">
        <f t="shared" si="62"/>
        <v/>
      </c>
      <c r="AF293" s="609" t="str">
        <f t="shared" si="62"/>
        <v/>
      </c>
      <c r="AG293" s="609" t="str">
        <f t="shared" si="62"/>
        <v/>
      </c>
      <c r="AH293" s="609" t="str">
        <f t="shared" si="62"/>
        <v/>
      </c>
      <c r="AI293" s="609" t="str">
        <f t="shared" si="62"/>
        <v/>
      </c>
      <c r="AJ293" s="609" t="str">
        <f t="shared" si="62"/>
        <v/>
      </c>
      <c r="AK293" s="609" t="str">
        <f t="shared" si="62"/>
        <v/>
      </c>
      <c r="AL293" s="609" t="str">
        <f t="shared" si="62"/>
        <v/>
      </c>
      <c r="AM293" s="609" t="str">
        <f t="shared" si="62"/>
        <v/>
      </c>
      <c r="AN293" s="609" t="str">
        <f t="shared" si="62"/>
        <v/>
      </c>
      <c r="AO293" s="609" t="str">
        <f t="shared" si="62"/>
        <v/>
      </c>
      <c r="AP293" s="609" t="str">
        <f t="shared" si="62"/>
        <v/>
      </c>
      <c r="AQ293" s="609" t="str">
        <f t="shared" si="62"/>
        <v/>
      </c>
      <c r="AR293" s="609" t="str">
        <f t="shared" si="62"/>
        <v/>
      </c>
      <c r="AS293" s="609" t="str">
        <f t="shared" si="62"/>
        <v/>
      </c>
      <c r="AT293" s="609" t="str">
        <f t="shared" si="62"/>
        <v/>
      </c>
      <c r="AU293" s="609" t="str">
        <f t="shared" si="62"/>
        <v/>
      </c>
      <c r="AV293" s="609" t="str">
        <f t="shared" si="62"/>
        <v/>
      </c>
      <c r="AW293" s="609" t="str">
        <f t="shared" si="62"/>
        <v/>
      </c>
      <c r="AX293" s="609" t="str">
        <f t="shared" si="62"/>
        <v/>
      </c>
      <c r="AY293" s="609" t="str">
        <f t="shared" si="62"/>
        <v/>
      </c>
      <c r="AZ293" s="609" t="str">
        <f t="shared" si="62"/>
        <v/>
      </c>
      <c r="BA293" s="609" t="str">
        <f t="shared" si="62"/>
        <v/>
      </c>
      <c r="BB293" s="609" t="str">
        <f t="shared" si="62"/>
        <v/>
      </c>
      <c r="BC293" s="609" t="str">
        <f t="shared" si="62"/>
        <v/>
      </c>
      <c r="BD293" s="609" t="str">
        <f t="shared" si="62"/>
        <v/>
      </c>
      <c r="BE293" s="609" t="str">
        <f t="shared" si="62"/>
        <v/>
      </c>
      <c r="BF293" s="609" t="str">
        <f t="shared" si="62"/>
        <v/>
      </c>
      <c r="BG293" s="609" t="str">
        <f t="shared" si="62"/>
        <v/>
      </c>
    </row>
    <row r="294" spans="2:59" x14ac:dyDescent="0.25">
      <c r="B294" s="654">
        <v>288</v>
      </c>
      <c r="C294" s="654"/>
      <c r="D294" s="654"/>
      <c r="E294" s="655"/>
      <c r="F294" s="654"/>
      <c r="H294" s="609" t="str">
        <f t="shared" si="56"/>
        <v/>
      </c>
      <c r="I294" s="609" t="str">
        <f t="shared" si="62"/>
        <v/>
      </c>
      <c r="J294" s="609" t="str">
        <f t="shared" si="62"/>
        <v/>
      </c>
      <c r="K294" s="609" t="str">
        <f t="shared" si="62"/>
        <v/>
      </c>
      <c r="L294" s="609" t="str">
        <f t="shared" si="62"/>
        <v/>
      </c>
      <c r="M294" s="609" t="str">
        <f t="shared" si="62"/>
        <v/>
      </c>
      <c r="N294" s="609" t="str">
        <f t="shared" si="62"/>
        <v/>
      </c>
      <c r="O294" s="609" t="str">
        <f t="shared" si="62"/>
        <v/>
      </c>
      <c r="P294" s="609" t="str">
        <f t="shared" si="62"/>
        <v/>
      </c>
      <c r="Q294" s="609" t="str">
        <f t="shared" si="62"/>
        <v/>
      </c>
      <c r="R294" s="609" t="str">
        <f t="shared" si="62"/>
        <v/>
      </c>
      <c r="S294" s="609" t="str">
        <f t="shared" si="62"/>
        <v/>
      </c>
      <c r="T294" s="609" t="str">
        <f t="shared" si="62"/>
        <v/>
      </c>
      <c r="U294" s="609" t="str">
        <f t="shared" si="62"/>
        <v/>
      </c>
      <c r="V294" s="609" t="str">
        <f t="shared" si="62"/>
        <v/>
      </c>
      <c r="W294" s="609" t="str">
        <f t="shared" si="62"/>
        <v/>
      </c>
      <c r="X294" s="609" t="str">
        <f t="shared" si="62"/>
        <v/>
      </c>
      <c r="Y294" s="609" t="str">
        <f t="shared" si="62"/>
        <v/>
      </c>
      <c r="Z294" s="609" t="str">
        <f t="shared" si="62"/>
        <v/>
      </c>
      <c r="AA294" s="609" t="str">
        <f t="shared" si="62"/>
        <v/>
      </c>
      <c r="AB294" s="609" t="str">
        <f t="shared" si="62"/>
        <v/>
      </c>
      <c r="AC294" s="609" t="str">
        <f t="shared" si="62"/>
        <v/>
      </c>
      <c r="AD294" s="609" t="str">
        <f t="shared" si="62"/>
        <v/>
      </c>
      <c r="AE294" s="609" t="str">
        <f t="shared" si="62"/>
        <v/>
      </c>
      <c r="AF294" s="609" t="str">
        <f t="shared" si="62"/>
        <v/>
      </c>
      <c r="AG294" s="609" t="str">
        <f t="shared" si="62"/>
        <v/>
      </c>
      <c r="AH294" s="609" t="str">
        <f t="shared" si="62"/>
        <v/>
      </c>
      <c r="AI294" s="609" t="str">
        <f t="shared" si="62"/>
        <v/>
      </c>
      <c r="AJ294" s="609" t="str">
        <f t="shared" si="62"/>
        <v/>
      </c>
      <c r="AK294" s="609" t="str">
        <f t="shared" si="62"/>
        <v/>
      </c>
      <c r="AL294" s="609" t="str">
        <f t="shared" si="62"/>
        <v/>
      </c>
      <c r="AM294" s="609" t="str">
        <f t="shared" si="62"/>
        <v/>
      </c>
      <c r="AN294" s="609" t="str">
        <f t="shared" si="62"/>
        <v/>
      </c>
      <c r="AO294" s="609" t="str">
        <f t="shared" si="62"/>
        <v/>
      </c>
      <c r="AP294" s="609" t="str">
        <f t="shared" si="62"/>
        <v/>
      </c>
      <c r="AQ294" s="609" t="str">
        <f t="shared" si="62"/>
        <v/>
      </c>
      <c r="AR294" s="609" t="str">
        <f t="shared" si="62"/>
        <v/>
      </c>
      <c r="AS294" s="609" t="str">
        <f t="shared" si="62"/>
        <v/>
      </c>
      <c r="AT294" s="609" t="str">
        <f t="shared" si="62"/>
        <v/>
      </c>
      <c r="AU294" s="609" t="str">
        <f t="shared" si="62"/>
        <v/>
      </c>
      <c r="AV294" s="609" t="str">
        <f t="shared" si="62"/>
        <v/>
      </c>
      <c r="AW294" s="609" t="str">
        <f t="shared" si="62"/>
        <v/>
      </c>
      <c r="AX294" s="609" t="str">
        <f t="shared" si="62"/>
        <v/>
      </c>
      <c r="AY294" s="609" t="str">
        <f t="shared" si="62"/>
        <v/>
      </c>
      <c r="AZ294" s="609" t="str">
        <f t="shared" si="62"/>
        <v/>
      </c>
      <c r="BA294" s="609" t="str">
        <f t="shared" si="62"/>
        <v/>
      </c>
      <c r="BB294" s="609" t="str">
        <f t="shared" si="62"/>
        <v/>
      </c>
      <c r="BC294" s="609" t="str">
        <f t="shared" si="62"/>
        <v/>
      </c>
      <c r="BD294" s="609" t="str">
        <f t="shared" si="62"/>
        <v/>
      </c>
      <c r="BE294" s="609" t="str">
        <f t="shared" si="62"/>
        <v/>
      </c>
      <c r="BF294" s="609" t="str">
        <f t="shared" si="62"/>
        <v/>
      </c>
      <c r="BG294" s="609" t="str">
        <f t="shared" si="62"/>
        <v/>
      </c>
    </row>
    <row r="295" spans="2:59" x14ac:dyDescent="0.25">
      <c r="B295" s="654">
        <v>289</v>
      </c>
      <c r="C295" s="654"/>
      <c r="D295" s="654"/>
      <c r="E295" s="655"/>
      <c r="F295" s="654"/>
      <c r="H295" s="609" t="str">
        <f t="shared" si="56"/>
        <v/>
      </c>
      <c r="I295" s="609" t="str">
        <f t="shared" ref="I295:BG299" si="63">IF($D295=I$6,$B295&amp;", ","")</f>
        <v/>
      </c>
      <c r="J295" s="609" t="str">
        <f t="shared" si="63"/>
        <v/>
      </c>
      <c r="K295" s="609" t="str">
        <f t="shared" si="63"/>
        <v/>
      </c>
      <c r="L295" s="609" t="str">
        <f t="shared" si="63"/>
        <v/>
      </c>
      <c r="M295" s="609" t="str">
        <f t="shared" si="63"/>
        <v/>
      </c>
      <c r="N295" s="609" t="str">
        <f t="shared" si="63"/>
        <v/>
      </c>
      <c r="O295" s="609" t="str">
        <f t="shared" si="63"/>
        <v/>
      </c>
      <c r="P295" s="609" t="str">
        <f t="shared" si="63"/>
        <v/>
      </c>
      <c r="Q295" s="609" t="str">
        <f t="shared" si="63"/>
        <v/>
      </c>
      <c r="R295" s="609" t="str">
        <f t="shared" si="63"/>
        <v/>
      </c>
      <c r="S295" s="609" t="str">
        <f t="shared" si="63"/>
        <v/>
      </c>
      <c r="T295" s="609" t="str">
        <f t="shared" si="63"/>
        <v/>
      </c>
      <c r="U295" s="609" t="str">
        <f t="shared" si="63"/>
        <v/>
      </c>
      <c r="V295" s="609" t="str">
        <f t="shared" si="63"/>
        <v/>
      </c>
      <c r="W295" s="609" t="str">
        <f t="shared" si="63"/>
        <v/>
      </c>
      <c r="X295" s="609" t="str">
        <f t="shared" si="63"/>
        <v/>
      </c>
      <c r="Y295" s="609" t="str">
        <f t="shared" si="63"/>
        <v/>
      </c>
      <c r="Z295" s="609" t="str">
        <f t="shared" si="63"/>
        <v/>
      </c>
      <c r="AA295" s="609" t="str">
        <f t="shared" si="63"/>
        <v/>
      </c>
      <c r="AB295" s="609" t="str">
        <f t="shared" si="63"/>
        <v/>
      </c>
      <c r="AC295" s="609" t="str">
        <f t="shared" si="63"/>
        <v/>
      </c>
      <c r="AD295" s="609" t="str">
        <f t="shared" si="63"/>
        <v/>
      </c>
      <c r="AE295" s="609" t="str">
        <f t="shared" si="63"/>
        <v/>
      </c>
      <c r="AF295" s="609" t="str">
        <f t="shared" si="63"/>
        <v/>
      </c>
      <c r="AG295" s="609" t="str">
        <f t="shared" si="63"/>
        <v/>
      </c>
      <c r="AH295" s="609" t="str">
        <f t="shared" si="63"/>
        <v/>
      </c>
      <c r="AI295" s="609" t="str">
        <f t="shared" si="63"/>
        <v/>
      </c>
      <c r="AJ295" s="609" t="str">
        <f t="shared" si="63"/>
        <v/>
      </c>
      <c r="AK295" s="609" t="str">
        <f t="shared" si="63"/>
        <v/>
      </c>
      <c r="AL295" s="609" t="str">
        <f t="shared" si="63"/>
        <v/>
      </c>
      <c r="AM295" s="609" t="str">
        <f t="shared" si="63"/>
        <v/>
      </c>
      <c r="AN295" s="609" t="str">
        <f t="shared" si="63"/>
        <v/>
      </c>
      <c r="AO295" s="609" t="str">
        <f t="shared" si="63"/>
        <v/>
      </c>
      <c r="AP295" s="609" t="str">
        <f t="shared" si="63"/>
        <v/>
      </c>
      <c r="AQ295" s="609" t="str">
        <f t="shared" si="63"/>
        <v/>
      </c>
      <c r="AR295" s="609" t="str">
        <f t="shared" si="63"/>
        <v/>
      </c>
      <c r="AS295" s="609" t="str">
        <f t="shared" si="63"/>
        <v/>
      </c>
      <c r="AT295" s="609" t="str">
        <f t="shared" si="63"/>
        <v/>
      </c>
      <c r="AU295" s="609" t="str">
        <f t="shared" si="63"/>
        <v/>
      </c>
      <c r="AV295" s="609" t="str">
        <f t="shared" si="63"/>
        <v/>
      </c>
      <c r="AW295" s="609" t="str">
        <f t="shared" si="63"/>
        <v/>
      </c>
      <c r="AX295" s="609" t="str">
        <f t="shared" si="63"/>
        <v/>
      </c>
      <c r="AY295" s="609" t="str">
        <f t="shared" si="63"/>
        <v/>
      </c>
      <c r="AZ295" s="609" t="str">
        <f t="shared" si="63"/>
        <v/>
      </c>
      <c r="BA295" s="609" t="str">
        <f t="shared" si="63"/>
        <v/>
      </c>
      <c r="BB295" s="609" t="str">
        <f t="shared" si="63"/>
        <v/>
      </c>
      <c r="BC295" s="609" t="str">
        <f t="shared" si="63"/>
        <v/>
      </c>
      <c r="BD295" s="609" t="str">
        <f t="shared" si="63"/>
        <v/>
      </c>
      <c r="BE295" s="609" t="str">
        <f t="shared" si="63"/>
        <v/>
      </c>
      <c r="BF295" s="609" t="str">
        <f t="shared" si="63"/>
        <v/>
      </c>
      <c r="BG295" s="609" t="str">
        <f t="shared" si="63"/>
        <v/>
      </c>
    </row>
    <row r="296" spans="2:59" x14ac:dyDescent="0.25">
      <c r="B296" s="654">
        <v>290</v>
      </c>
      <c r="C296" s="654"/>
      <c r="D296" s="654"/>
      <c r="E296" s="655"/>
      <c r="F296" s="654"/>
      <c r="H296" s="609" t="str">
        <f t="shared" si="56"/>
        <v/>
      </c>
      <c r="I296" s="609" t="str">
        <f t="shared" si="63"/>
        <v/>
      </c>
      <c r="J296" s="609" t="str">
        <f t="shared" si="63"/>
        <v/>
      </c>
      <c r="K296" s="609" t="str">
        <f t="shared" si="63"/>
        <v/>
      </c>
      <c r="L296" s="609" t="str">
        <f t="shared" si="63"/>
        <v/>
      </c>
      <c r="M296" s="609" t="str">
        <f t="shared" si="63"/>
        <v/>
      </c>
      <c r="N296" s="609" t="str">
        <f t="shared" si="63"/>
        <v/>
      </c>
      <c r="O296" s="609" t="str">
        <f t="shared" si="63"/>
        <v/>
      </c>
      <c r="P296" s="609" t="str">
        <f t="shared" si="63"/>
        <v/>
      </c>
      <c r="Q296" s="609" t="str">
        <f t="shared" si="63"/>
        <v/>
      </c>
      <c r="R296" s="609" t="str">
        <f t="shared" si="63"/>
        <v/>
      </c>
      <c r="S296" s="609" t="str">
        <f t="shared" si="63"/>
        <v/>
      </c>
      <c r="T296" s="609" t="str">
        <f t="shared" si="63"/>
        <v/>
      </c>
      <c r="U296" s="609" t="str">
        <f t="shared" si="63"/>
        <v/>
      </c>
      <c r="V296" s="609" t="str">
        <f t="shared" si="63"/>
        <v/>
      </c>
      <c r="W296" s="609" t="str">
        <f t="shared" si="63"/>
        <v/>
      </c>
      <c r="X296" s="609" t="str">
        <f t="shared" si="63"/>
        <v/>
      </c>
      <c r="Y296" s="609" t="str">
        <f t="shared" si="63"/>
        <v/>
      </c>
      <c r="Z296" s="609" t="str">
        <f t="shared" si="63"/>
        <v/>
      </c>
      <c r="AA296" s="609" t="str">
        <f t="shared" si="63"/>
        <v/>
      </c>
      <c r="AB296" s="609" t="str">
        <f t="shared" si="63"/>
        <v/>
      </c>
      <c r="AC296" s="609" t="str">
        <f t="shared" si="63"/>
        <v/>
      </c>
      <c r="AD296" s="609" t="str">
        <f t="shared" si="63"/>
        <v/>
      </c>
      <c r="AE296" s="609" t="str">
        <f t="shared" si="63"/>
        <v/>
      </c>
      <c r="AF296" s="609" t="str">
        <f t="shared" si="63"/>
        <v/>
      </c>
      <c r="AG296" s="609" t="str">
        <f t="shared" si="63"/>
        <v/>
      </c>
      <c r="AH296" s="609" t="str">
        <f t="shared" si="63"/>
        <v/>
      </c>
      <c r="AI296" s="609" t="str">
        <f t="shared" si="63"/>
        <v/>
      </c>
      <c r="AJ296" s="609" t="str">
        <f t="shared" si="63"/>
        <v/>
      </c>
      <c r="AK296" s="609" t="str">
        <f t="shared" si="63"/>
        <v/>
      </c>
      <c r="AL296" s="609" t="str">
        <f t="shared" si="63"/>
        <v/>
      </c>
      <c r="AM296" s="609" t="str">
        <f t="shared" si="63"/>
        <v/>
      </c>
      <c r="AN296" s="609" t="str">
        <f t="shared" si="63"/>
        <v/>
      </c>
      <c r="AO296" s="609" t="str">
        <f t="shared" si="63"/>
        <v/>
      </c>
      <c r="AP296" s="609" t="str">
        <f t="shared" si="63"/>
        <v/>
      </c>
      <c r="AQ296" s="609" t="str">
        <f t="shared" si="63"/>
        <v/>
      </c>
      <c r="AR296" s="609" t="str">
        <f t="shared" si="63"/>
        <v/>
      </c>
      <c r="AS296" s="609" t="str">
        <f t="shared" si="63"/>
        <v/>
      </c>
      <c r="AT296" s="609" t="str">
        <f t="shared" si="63"/>
        <v/>
      </c>
      <c r="AU296" s="609" t="str">
        <f t="shared" si="63"/>
        <v/>
      </c>
      <c r="AV296" s="609" t="str">
        <f t="shared" si="63"/>
        <v/>
      </c>
      <c r="AW296" s="609" t="str">
        <f t="shared" si="63"/>
        <v/>
      </c>
      <c r="AX296" s="609" t="str">
        <f t="shared" si="63"/>
        <v/>
      </c>
      <c r="AY296" s="609" t="str">
        <f t="shared" si="63"/>
        <v/>
      </c>
      <c r="AZ296" s="609" t="str">
        <f t="shared" si="63"/>
        <v/>
      </c>
      <c r="BA296" s="609" t="str">
        <f t="shared" si="63"/>
        <v/>
      </c>
      <c r="BB296" s="609" t="str">
        <f t="shared" si="63"/>
        <v/>
      </c>
      <c r="BC296" s="609" t="str">
        <f t="shared" si="63"/>
        <v/>
      </c>
      <c r="BD296" s="609" t="str">
        <f t="shared" si="63"/>
        <v/>
      </c>
      <c r="BE296" s="609" t="str">
        <f t="shared" si="63"/>
        <v/>
      </c>
      <c r="BF296" s="609" t="str">
        <f t="shared" si="63"/>
        <v/>
      </c>
      <c r="BG296" s="609" t="str">
        <f t="shared" si="63"/>
        <v/>
      </c>
    </row>
    <row r="297" spans="2:59" x14ac:dyDescent="0.25">
      <c r="B297" s="654">
        <v>291</v>
      </c>
      <c r="C297" s="654"/>
      <c r="D297" s="654"/>
      <c r="E297" s="655"/>
      <c r="F297" s="654"/>
      <c r="H297" s="609" t="str">
        <f t="shared" si="56"/>
        <v/>
      </c>
      <c r="I297" s="609" t="str">
        <f t="shared" si="63"/>
        <v/>
      </c>
      <c r="J297" s="609" t="str">
        <f t="shared" si="63"/>
        <v/>
      </c>
      <c r="K297" s="609" t="str">
        <f t="shared" si="63"/>
        <v/>
      </c>
      <c r="L297" s="609" t="str">
        <f t="shared" si="63"/>
        <v/>
      </c>
      <c r="M297" s="609" t="str">
        <f t="shared" si="63"/>
        <v/>
      </c>
      <c r="N297" s="609" t="str">
        <f t="shared" si="63"/>
        <v/>
      </c>
      <c r="O297" s="609" t="str">
        <f t="shared" si="63"/>
        <v/>
      </c>
      <c r="P297" s="609" t="str">
        <f t="shared" si="63"/>
        <v/>
      </c>
      <c r="Q297" s="609" t="str">
        <f t="shared" si="63"/>
        <v/>
      </c>
      <c r="R297" s="609" t="str">
        <f t="shared" si="63"/>
        <v/>
      </c>
      <c r="S297" s="609" t="str">
        <f t="shared" si="63"/>
        <v/>
      </c>
      <c r="T297" s="609" t="str">
        <f t="shared" si="63"/>
        <v/>
      </c>
      <c r="U297" s="609" t="str">
        <f t="shared" si="63"/>
        <v/>
      </c>
      <c r="V297" s="609" t="str">
        <f t="shared" si="63"/>
        <v/>
      </c>
      <c r="W297" s="609" t="str">
        <f t="shared" si="63"/>
        <v/>
      </c>
      <c r="X297" s="609" t="str">
        <f t="shared" si="63"/>
        <v/>
      </c>
      <c r="Y297" s="609" t="str">
        <f t="shared" si="63"/>
        <v/>
      </c>
      <c r="Z297" s="609" t="str">
        <f t="shared" si="63"/>
        <v/>
      </c>
      <c r="AA297" s="609" t="str">
        <f t="shared" si="63"/>
        <v/>
      </c>
      <c r="AB297" s="609" t="str">
        <f t="shared" si="63"/>
        <v/>
      </c>
      <c r="AC297" s="609" t="str">
        <f t="shared" si="63"/>
        <v/>
      </c>
      <c r="AD297" s="609" t="str">
        <f t="shared" si="63"/>
        <v/>
      </c>
      <c r="AE297" s="609" t="str">
        <f t="shared" si="63"/>
        <v/>
      </c>
      <c r="AF297" s="609" t="str">
        <f t="shared" si="63"/>
        <v/>
      </c>
      <c r="AG297" s="609" t="str">
        <f t="shared" si="63"/>
        <v/>
      </c>
      <c r="AH297" s="609" t="str">
        <f t="shared" si="63"/>
        <v/>
      </c>
      <c r="AI297" s="609" t="str">
        <f t="shared" si="63"/>
        <v/>
      </c>
      <c r="AJ297" s="609" t="str">
        <f t="shared" si="63"/>
        <v/>
      </c>
      <c r="AK297" s="609" t="str">
        <f t="shared" si="63"/>
        <v/>
      </c>
      <c r="AL297" s="609" t="str">
        <f t="shared" si="63"/>
        <v/>
      </c>
      <c r="AM297" s="609" t="str">
        <f t="shared" si="63"/>
        <v/>
      </c>
      <c r="AN297" s="609" t="str">
        <f t="shared" si="63"/>
        <v/>
      </c>
      <c r="AO297" s="609" t="str">
        <f t="shared" si="63"/>
        <v/>
      </c>
      <c r="AP297" s="609" t="str">
        <f t="shared" si="63"/>
        <v/>
      </c>
      <c r="AQ297" s="609" t="str">
        <f t="shared" si="63"/>
        <v/>
      </c>
      <c r="AR297" s="609" t="str">
        <f t="shared" si="63"/>
        <v/>
      </c>
      <c r="AS297" s="609" t="str">
        <f t="shared" si="63"/>
        <v/>
      </c>
      <c r="AT297" s="609" t="str">
        <f t="shared" si="63"/>
        <v/>
      </c>
      <c r="AU297" s="609" t="str">
        <f t="shared" si="63"/>
        <v/>
      </c>
      <c r="AV297" s="609" t="str">
        <f t="shared" si="63"/>
        <v/>
      </c>
      <c r="AW297" s="609" t="str">
        <f t="shared" si="63"/>
        <v/>
      </c>
      <c r="AX297" s="609" t="str">
        <f t="shared" si="63"/>
        <v/>
      </c>
      <c r="AY297" s="609" t="str">
        <f t="shared" si="63"/>
        <v/>
      </c>
      <c r="AZ297" s="609" t="str">
        <f t="shared" si="63"/>
        <v/>
      </c>
      <c r="BA297" s="609" t="str">
        <f t="shared" si="63"/>
        <v/>
      </c>
      <c r="BB297" s="609" t="str">
        <f t="shared" si="63"/>
        <v/>
      </c>
      <c r="BC297" s="609" t="str">
        <f t="shared" si="63"/>
        <v/>
      </c>
      <c r="BD297" s="609" t="str">
        <f t="shared" si="63"/>
        <v/>
      </c>
      <c r="BE297" s="609" t="str">
        <f t="shared" si="63"/>
        <v/>
      </c>
      <c r="BF297" s="609" t="str">
        <f t="shared" si="63"/>
        <v/>
      </c>
      <c r="BG297" s="609" t="str">
        <f t="shared" si="63"/>
        <v/>
      </c>
    </row>
    <row r="298" spans="2:59" x14ac:dyDescent="0.25">
      <c r="B298" s="654">
        <v>292</v>
      </c>
      <c r="C298" s="654"/>
      <c r="D298" s="654"/>
      <c r="E298" s="655"/>
      <c r="F298" s="654"/>
      <c r="H298" s="609" t="str">
        <f t="shared" si="56"/>
        <v/>
      </c>
      <c r="I298" s="609" t="str">
        <f t="shared" si="63"/>
        <v/>
      </c>
      <c r="J298" s="609" t="str">
        <f t="shared" si="63"/>
        <v/>
      </c>
      <c r="K298" s="609" t="str">
        <f t="shared" si="63"/>
        <v/>
      </c>
      <c r="L298" s="609" t="str">
        <f t="shared" si="63"/>
        <v/>
      </c>
      <c r="M298" s="609" t="str">
        <f t="shared" si="63"/>
        <v/>
      </c>
      <c r="N298" s="609" t="str">
        <f t="shared" si="63"/>
        <v/>
      </c>
      <c r="O298" s="609" t="str">
        <f t="shared" si="63"/>
        <v/>
      </c>
      <c r="P298" s="609" t="str">
        <f t="shared" si="63"/>
        <v/>
      </c>
      <c r="Q298" s="609" t="str">
        <f t="shared" si="63"/>
        <v/>
      </c>
      <c r="R298" s="609" t="str">
        <f t="shared" si="63"/>
        <v/>
      </c>
      <c r="S298" s="609" t="str">
        <f t="shared" si="63"/>
        <v/>
      </c>
      <c r="T298" s="609" t="str">
        <f t="shared" si="63"/>
        <v/>
      </c>
      <c r="U298" s="609" t="str">
        <f t="shared" si="63"/>
        <v/>
      </c>
      <c r="V298" s="609" t="str">
        <f t="shared" si="63"/>
        <v/>
      </c>
      <c r="W298" s="609" t="str">
        <f t="shared" si="63"/>
        <v/>
      </c>
      <c r="X298" s="609" t="str">
        <f t="shared" si="63"/>
        <v/>
      </c>
      <c r="Y298" s="609" t="str">
        <f t="shared" si="63"/>
        <v/>
      </c>
      <c r="Z298" s="609" t="str">
        <f t="shared" si="63"/>
        <v/>
      </c>
      <c r="AA298" s="609" t="str">
        <f t="shared" si="63"/>
        <v/>
      </c>
      <c r="AB298" s="609" t="str">
        <f t="shared" si="63"/>
        <v/>
      </c>
      <c r="AC298" s="609" t="str">
        <f t="shared" si="63"/>
        <v/>
      </c>
      <c r="AD298" s="609" t="str">
        <f t="shared" si="63"/>
        <v/>
      </c>
      <c r="AE298" s="609" t="str">
        <f t="shared" si="63"/>
        <v/>
      </c>
      <c r="AF298" s="609" t="str">
        <f t="shared" si="63"/>
        <v/>
      </c>
      <c r="AG298" s="609" t="str">
        <f t="shared" si="63"/>
        <v/>
      </c>
      <c r="AH298" s="609" t="str">
        <f t="shared" si="63"/>
        <v/>
      </c>
      <c r="AI298" s="609" t="str">
        <f t="shared" si="63"/>
        <v/>
      </c>
      <c r="AJ298" s="609" t="str">
        <f t="shared" si="63"/>
        <v/>
      </c>
      <c r="AK298" s="609" t="str">
        <f t="shared" si="63"/>
        <v/>
      </c>
      <c r="AL298" s="609" t="str">
        <f t="shared" si="63"/>
        <v/>
      </c>
      <c r="AM298" s="609" t="str">
        <f t="shared" si="63"/>
        <v/>
      </c>
      <c r="AN298" s="609" t="str">
        <f t="shared" si="63"/>
        <v/>
      </c>
      <c r="AO298" s="609" t="str">
        <f t="shared" si="63"/>
        <v/>
      </c>
      <c r="AP298" s="609" t="str">
        <f t="shared" si="63"/>
        <v/>
      </c>
      <c r="AQ298" s="609" t="str">
        <f t="shared" si="63"/>
        <v/>
      </c>
      <c r="AR298" s="609" t="str">
        <f t="shared" si="63"/>
        <v/>
      </c>
      <c r="AS298" s="609" t="str">
        <f t="shared" si="63"/>
        <v/>
      </c>
      <c r="AT298" s="609" t="str">
        <f t="shared" si="63"/>
        <v/>
      </c>
      <c r="AU298" s="609" t="str">
        <f t="shared" si="63"/>
        <v/>
      </c>
      <c r="AV298" s="609" t="str">
        <f t="shared" si="63"/>
        <v/>
      </c>
      <c r="AW298" s="609" t="str">
        <f t="shared" si="63"/>
        <v/>
      </c>
      <c r="AX298" s="609" t="str">
        <f t="shared" si="63"/>
        <v/>
      </c>
      <c r="AY298" s="609" t="str">
        <f t="shared" si="63"/>
        <v/>
      </c>
      <c r="AZ298" s="609" t="str">
        <f t="shared" si="63"/>
        <v/>
      </c>
      <c r="BA298" s="609" t="str">
        <f t="shared" si="63"/>
        <v/>
      </c>
      <c r="BB298" s="609" t="str">
        <f t="shared" si="63"/>
        <v/>
      </c>
      <c r="BC298" s="609" t="str">
        <f t="shared" si="63"/>
        <v/>
      </c>
      <c r="BD298" s="609" t="str">
        <f t="shared" si="63"/>
        <v/>
      </c>
      <c r="BE298" s="609" t="str">
        <f t="shared" si="63"/>
        <v/>
      </c>
      <c r="BF298" s="609" t="str">
        <f t="shared" si="63"/>
        <v/>
      </c>
      <c r="BG298" s="609" t="str">
        <f t="shared" si="63"/>
        <v/>
      </c>
    </row>
    <row r="299" spans="2:59" x14ac:dyDescent="0.25">
      <c r="B299" s="654">
        <v>293</v>
      </c>
      <c r="C299" s="654"/>
      <c r="D299" s="654"/>
      <c r="E299" s="655"/>
      <c r="F299" s="654"/>
      <c r="H299" s="609" t="str">
        <f t="shared" si="56"/>
        <v/>
      </c>
      <c r="I299" s="609" t="str">
        <f t="shared" si="63"/>
        <v/>
      </c>
      <c r="J299" s="609" t="str">
        <f t="shared" si="63"/>
        <v/>
      </c>
      <c r="K299" s="609" t="str">
        <f t="shared" si="63"/>
        <v/>
      </c>
      <c r="L299" s="609" t="str">
        <f t="shared" si="63"/>
        <v/>
      </c>
      <c r="M299" s="609" t="str">
        <f t="shared" si="63"/>
        <v/>
      </c>
      <c r="N299" s="609" t="str">
        <f t="shared" si="63"/>
        <v/>
      </c>
      <c r="O299" s="609" t="str">
        <f t="shared" si="63"/>
        <v/>
      </c>
      <c r="P299" s="609" t="str">
        <f t="shared" si="63"/>
        <v/>
      </c>
      <c r="Q299" s="609" t="str">
        <f t="shared" si="63"/>
        <v/>
      </c>
      <c r="R299" s="609" t="str">
        <f t="shared" si="63"/>
        <v/>
      </c>
      <c r="S299" s="609" t="str">
        <f t="shared" si="63"/>
        <v/>
      </c>
      <c r="T299" s="609" t="str">
        <f t="shared" si="63"/>
        <v/>
      </c>
      <c r="U299" s="609" t="str">
        <f t="shared" si="63"/>
        <v/>
      </c>
      <c r="V299" s="609" t="str">
        <f t="shared" si="63"/>
        <v/>
      </c>
      <c r="W299" s="609" t="str">
        <f t="shared" si="63"/>
        <v/>
      </c>
      <c r="X299" s="609" t="str">
        <f t="shared" si="63"/>
        <v/>
      </c>
      <c r="Y299" s="609" t="str">
        <f t="shared" si="63"/>
        <v/>
      </c>
      <c r="Z299" s="609" t="str">
        <f t="shared" si="63"/>
        <v/>
      </c>
      <c r="AA299" s="609" t="str">
        <f t="shared" si="63"/>
        <v/>
      </c>
      <c r="AB299" s="609" t="str">
        <f t="shared" si="63"/>
        <v/>
      </c>
      <c r="AC299" s="609" t="str">
        <f t="shared" si="63"/>
        <v/>
      </c>
      <c r="AD299" s="609" t="str">
        <f t="shared" si="63"/>
        <v/>
      </c>
      <c r="AE299" s="609" t="str">
        <f t="shared" si="63"/>
        <v/>
      </c>
      <c r="AF299" s="609" t="str">
        <f t="shared" si="63"/>
        <v/>
      </c>
      <c r="AG299" s="609" t="str">
        <f t="shared" si="63"/>
        <v/>
      </c>
      <c r="AH299" s="609" t="str">
        <f t="shared" si="63"/>
        <v/>
      </c>
      <c r="AI299" s="609" t="str">
        <f t="shared" si="63"/>
        <v/>
      </c>
      <c r="AJ299" s="609" t="str">
        <f t="shared" si="63"/>
        <v/>
      </c>
      <c r="AK299" s="609" t="str">
        <f t="shared" si="63"/>
        <v/>
      </c>
      <c r="AL299" s="609" t="str">
        <f t="shared" si="63"/>
        <v/>
      </c>
      <c r="AM299" s="609" t="str">
        <f t="shared" si="63"/>
        <v/>
      </c>
      <c r="AN299" s="609" t="str">
        <f t="shared" si="63"/>
        <v/>
      </c>
      <c r="AO299" s="609" t="str">
        <f t="shared" si="63"/>
        <v/>
      </c>
      <c r="AP299" s="609" t="str">
        <f t="shared" si="63"/>
        <v/>
      </c>
      <c r="AQ299" s="609" t="str">
        <f t="shared" si="63"/>
        <v/>
      </c>
      <c r="AR299" s="609" t="str">
        <f t="shared" si="63"/>
        <v/>
      </c>
      <c r="AS299" s="609" t="str">
        <f t="shared" si="63"/>
        <v/>
      </c>
      <c r="AT299" s="609" t="str">
        <f t="shared" si="63"/>
        <v/>
      </c>
      <c r="AU299" s="609" t="str">
        <f t="shared" si="63"/>
        <v/>
      </c>
      <c r="AV299" s="609" t="str">
        <f t="shared" si="63"/>
        <v/>
      </c>
      <c r="AW299" s="609" t="str">
        <f t="shared" si="63"/>
        <v/>
      </c>
      <c r="AX299" s="609" t="str">
        <f t="shared" si="63"/>
        <v/>
      </c>
      <c r="AY299" s="609" t="str">
        <f t="shared" si="63"/>
        <v/>
      </c>
      <c r="AZ299" s="609" t="str">
        <f t="shared" si="63"/>
        <v/>
      </c>
      <c r="BA299" s="609" t="str">
        <f t="shared" si="63"/>
        <v/>
      </c>
      <c r="BB299" s="609" t="str">
        <f t="shared" si="63"/>
        <v/>
      </c>
      <c r="BC299" s="609" t="str">
        <f t="shared" si="63"/>
        <v/>
      </c>
      <c r="BD299" s="609" t="str">
        <f t="shared" si="63"/>
        <v/>
      </c>
      <c r="BE299" s="609" t="str">
        <f t="shared" si="63"/>
        <v/>
      </c>
      <c r="BF299" s="609" t="str">
        <f t="shared" si="63"/>
        <v/>
      </c>
      <c r="BG299" s="609" t="str">
        <f t="shared" si="63"/>
        <v/>
      </c>
    </row>
    <row r="300" spans="2:59" x14ac:dyDescent="0.25">
      <c r="B300" s="654">
        <v>294</v>
      </c>
      <c r="C300" s="654"/>
      <c r="D300" s="654"/>
      <c r="E300" s="655"/>
      <c r="F300" s="654"/>
      <c r="H300" s="609" t="str">
        <f t="shared" si="56"/>
        <v/>
      </c>
      <c r="I300" s="609" t="str">
        <f t="shared" ref="I300:BG304" si="64">IF($D300=I$6,$B300&amp;", ","")</f>
        <v/>
      </c>
      <c r="J300" s="609" t="str">
        <f t="shared" si="64"/>
        <v/>
      </c>
      <c r="K300" s="609" t="str">
        <f t="shared" si="64"/>
        <v/>
      </c>
      <c r="L300" s="609" t="str">
        <f t="shared" si="64"/>
        <v/>
      </c>
      <c r="M300" s="609" t="str">
        <f t="shared" si="64"/>
        <v/>
      </c>
      <c r="N300" s="609" t="str">
        <f t="shared" si="64"/>
        <v/>
      </c>
      <c r="O300" s="609" t="str">
        <f t="shared" si="64"/>
        <v/>
      </c>
      <c r="P300" s="609" t="str">
        <f t="shared" si="64"/>
        <v/>
      </c>
      <c r="Q300" s="609" t="str">
        <f t="shared" si="64"/>
        <v/>
      </c>
      <c r="R300" s="609" t="str">
        <f t="shared" si="64"/>
        <v/>
      </c>
      <c r="S300" s="609" t="str">
        <f t="shared" si="64"/>
        <v/>
      </c>
      <c r="T300" s="609" t="str">
        <f t="shared" si="64"/>
        <v/>
      </c>
      <c r="U300" s="609" t="str">
        <f t="shared" si="64"/>
        <v/>
      </c>
      <c r="V300" s="609" t="str">
        <f t="shared" si="64"/>
        <v/>
      </c>
      <c r="W300" s="609" t="str">
        <f t="shared" si="64"/>
        <v/>
      </c>
      <c r="X300" s="609" t="str">
        <f t="shared" si="64"/>
        <v/>
      </c>
      <c r="Y300" s="609" t="str">
        <f t="shared" si="64"/>
        <v/>
      </c>
      <c r="Z300" s="609" t="str">
        <f t="shared" si="64"/>
        <v/>
      </c>
      <c r="AA300" s="609" t="str">
        <f t="shared" si="64"/>
        <v/>
      </c>
      <c r="AB300" s="609" t="str">
        <f t="shared" si="64"/>
        <v/>
      </c>
      <c r="AC300" s="609" t="str">
        <f t="shared" si="64"/>
        <v/>
      </c>
      <c r="AD300" s="609" t="str">
        <f t="shared" si="64"/>
        <v/>
      </c>
      <c r="AE300" s="609" t="str">
        <f t="shared" si="64"/>
        <v/>
      </c>
      <c r="AF300" s="609" t="str">
        <f t="shared" si="64"/>
        <v/>
      </c>
      <c r="AG300" s="609" t="str">
        <f t="shared" si="64"/>
        <v/>
      </c>
      <c r="AH300" s="609" t="str">
        <f t="shared" si="64"/>
        <v/>
      </c>
      <c r="AI300" s="609" t="str">
        <f t="shared" si="64"/>
        <v/>
      </c>
      <c r="AJ300" s="609" t="str">
        <f t="shared" si="64"/>
        <v/>
      </c>
      <c r="AK300" s="609" t="str">
        <f t="shared" si="64"/>
        <v/>
      </c>
      <c r="AL300" s="609" t="str">
        <f t="shared" si="64"/>
        <v/>
      </c>
      <c r="AM300" s="609" t="str">
        <f t="shared" si="64"/>
        <v/>
      </c>
      <c r="AN300" s="609" t="str">
        <f t="shared" si="64"/>
        <v/>
      </c>
      <c r="AO300" s="609" t="str">
        <f t="shared" si="64"/>
        <v/>
      </c>
      <c r="AP300" s="609" t="str">
        <f t="shared" si="64"/>
        <v/>
      </c>
      <c r="AQ300" s="609" t="str">
        <f t="shared" si="64"/>
        <v/>
      </c>
      <c r="AR300" s="609" t="str">
        <f t="shared" si="64"/>
        <v/>
      </c>
      <c r="AS300" s="609" t="str">
        <f t="shared" si="64"/>
        <v/>
      </c>
      <c r="AT300" s="609" t="str">
        <f t="shared" si="64"/>
        <v/>
      </c>
      <c r="AU300" s="609" t="str">
        <f t="shared" si="64"/>
        <v/>
      </c>
      <c r="AV300" s="609" t="str">
        <f t="shared" si="64"/>
        <v/>
      </c>
      <c r="AW300" s="609" t="str">
        <f t="shared" si="64"/>
        <v/>
      </c>
      <c r="AX300" s="609" t="str">
        <f t="shared" si="64"/>
        <v/>
      </c>
      <c r="AY300" s="609" t="str">
        <f t="shared" si="64"/>
        <v/>
      </c>
      <c r="AZ300" s="609" t="str">
        <f t="shared" si="64"/>
        <v/>
      </c>
      <c r="BA300" s="609" t="str">
        <f t="shared" si="64"/>
        <v/>
      </c>
      <c r="BB300" s="609" t="str">
        <f t="shared" si="64"/>
        <v/>
      </c>
      <c r="BC300" s="609" t="str">
        <f t="shared" si="64"/>
        <v/>
      </c>
      <c r="BD300" s="609" t="str">
        <f t="shared" si="64"/>
        <v/>
      </c>
      <c r="BE300" s="609" t="str">
        <f t="shared" si="64"/>
        <v/>
      </c>
      <c r="BF300" s="609" t="str">
        <f t="shared" si="64"/>
        <v/>
      </c>
      <c r="BG300" s="609" t="str">
        <f t="shared" si="64"/>
        <v/>
      </c>
    </row>
    <row r="301" spans="2:59" x14ac:dyDescent="0.25">
      <c r="B301" s="654">
        <v>295</v>
      </c>
      <c r="C301" s="654"/>
      <c r="D301" s="654"/>
      <c r="E301" s="655"/>
      <c r="F301" s="654"/>
      <c r="H301" s="609" t="str">
        <f t="shared" si="56"/>
        <v/>
      </c>
      <c r="I301" s="609" t="str">
        <f t="shared" si="64"/>
        <v/>
      </c>
      <c r="J301" s="609" t="str">
        <f t="shared" si="64"/>
        <v/>
      </c>
      <c r="K301" s="609" t="str">
        <f t="shared" si="64"/>
        <v/>
      </c>
      <c r="L301" s="609" t="str">
        <f t="shared" si="64"/>
        <v/>
      </c>
      <c r="M301" s="609" t="str">
        <f t="shared" si="64"/>
        <v/>
      </c>
      <c r="N301" s="609" t="str">
        <f t="shared" si="64"/>
        <v/>
      </c>
      <c r="O301" s="609" t="str">
        <f t="shared" si="64"/>
        <v/>
      </c>
      <c r="P301" s="609" t="str">
        <f t="shared" si="64"/>
        <v/>
      </c>
      <c r="Q301" s="609" t="str">
        <f t="shared" si="64"/>
        <v/>
      </c>
      <c r="R301" s="609" t="str">
        <f t="shared" si="64"/>
        <v/>
      </c>
      <c r="S301" s="609" t="str">
        <f t="shared" si="64"/>
        <v/>
      </c>
      <c r="T301" s="609" t="str">
        <f t="shared" si="64"/>
        <v/>
      </c>
      <c r="U301" s="609" t="str">
        <f t="shared" si="64"/>
        <v/>
      </c>
      <c r="V301" s="609" t="str">
        <f t="shared" si="64"/>
        <v/>
      </c>
      <c r="W301" s="609" t="str">
        <f t="shared" si="64"/>
        <v/>
      </c>
      <c r="X301" s="609" t="str">
        <f t="shared" si="64"/>
        <v/>
      </c>
      <c r="Y301" s="609" t="str">
        <f t="shared" si="64"/>
        <v/>
      </c>
      <c r="Z301" s="609" t="str">
        <f t="shared" si="64"/>
        <v/>
      </c>
      <c r="AA301" s="609" t="str">
        <f t="shared" si="64"/>
        <v/>
      </c>
      <c r="AB301" s="609" t="str">
        <f t="shared" si="64"/>
        <v/>
      </c>
      <c r="AC301" s="609" t="str">
        <f t="shared" si="64"/>
        <v/>
      </c>
      <c r="AD301" s="609" t="str">
        <f t="shared" si="64"/>
        <v/>
      </c>
      <c r="AE301" s="609" t="str">
        <f t="shared" si="64"/>
        <v/>
      </c>
      <c r="AF301" s="609" t="str">
        <f t="shared" si="64"/>
        <v/>
      </c>
      <c r="AG301" s="609" t="str">
        <f t="shared" si="64"/>
        <v/>
      </c>
      <c r="AH301" s="609" t="str">
        <f t="shared" si="64"/>
        <v/>
      </c>
      <c r="AI301" s="609" t="str">
        <f t="shared" si="64"/>
        <v/>
      </c>
      <c r="AJ301" s="609" t="str">
        <f t="shared" si="64"/>
        <v/>
      </c>
      <c r="AK301" s="609" t="str">
        <f t="shared" si="64"/>
        <v/>
      </c>
      <c r="AL301" s="609" t="str">
        <f t="shared" si="64"/>
        <v/>
      </c>
      <c r="AM301" s="609" t="str">
        <f t="shared" si="64"/>
        <v/>
      </c>
      <c r="AN301" s="609" t="str">
        <f t="shared" si="64"/>
        <v/>
      </c>
      <c r="AO301" s="609" t="str">
        <f t="shared" si="64"/>
        <v/>
      </c>
      <c r="AP301" s="609" t="str">
        <f t="shared" si="64"/>
        <v/>
      </c>
      <c r="AQ301" s="609" t="str">
        <f t="shared" si="64"/>
        <v/>
      </c>
      <c r="AR301" s="609" t="str">
        <f t="shared" si="64"/>
        <v/>
      </c>
      <c r="AS301" s="609" t="str">
        <f t="shared" si="64"/>
        <v/>
      </c>
      <c r="AT301" s="609" t="str">
        <f t="shared" si="64"/>
        <v/>
      </c>
      <c r="AU301" s="609" t="str">
        <f t="shared" si="64"/>
        <v/>
      </c>
      <c r="AV301" s="609" t="str">
        <f t="shared" si="64"/>
        <v/>
      </c>
      <c r="AW301" s="609" t="str">
        <f t="shared" si="64"/>
        <v/>
      </c>
      <c r="AX301" s="609" t="str">
        <f t="shared" si="64"/>
        <v/>
      </c>
      <c r="AY301" s="609" t="str">
        <f t="shared" si="64"/>
        <v/>
      </c>
      <c r="AZ301" s="609" t="str">
        <f t="shared" si="64"/>
        <v/>
      </c>
      <c r="BA301" s="609" t="str">
        <f t="shared" si="64"/>
        <v/>
      </c>
      <c r="BB301" s="609" t="str">
        <f t="shared" si="64"/>
        <v/>
      </c>
      <c r="BC301" s="609" t="str">
        <f t="shared" si="64"/>
        <v/>
      </c>
      <c r="BD301" s="609" t="str">
        <f t="shared" si="64"/>
        <v/>
      </c>
      <c r="BE301" s="609" t="str">
        <f t="shared" si="64"/>
        <v/>
      </c>
      <c r="BF301" s="609" t="str">
        <f t="shared" si="64"/>
        <v/>
      </c>
      <c r="BG301" s="609" t="str">
        <f t="shared" si="64"/>
        <v/>
      </c>
    </row>
    <row r="302" spans="2:59" x14ac:dyDescent="0.25">
      <c r="B302" s="654">
        <v>296</v>
      </c>
      <c r="C302" s="654"/>
      <c r="D302" s="654"/>
      <c r="E302" s="655"/>
      <c r="F302" s="654"/>
      <c r="H302" s="609" t="str">
        <f t="shared" si="56"/>
        <v/>
      </c>
      <c r="I302" s="609" t="str">
        <f t="shared" si="64"/>
        <v/>
      </c>
      <c r="J302" s="609" t="str">
        <f t="shared" si="64"/>
        <v/>
      </c>
      <c r="K302" s="609" t="str">
        <f t="shared" si="64"/>
        <v/>
      </c>
      <c r="L302" s="609" t="str">
        <f t="shared" si="64"/>
        <v/>
      </c>
      <c r="M302" s="609" t="str">
        <f t="shared" si="64"/>
        <v/>
      </c>
      <c r="N302" s="609" t="str">
        <f t="shared" si="64"/>
        <v/>
      </c>
      <c r="O302" s="609" t="str">
        <f t="shared" si="64"/>
        <v/>
      </c>
      <c r="P302" s="609" t="str">
        <f t="shared" si="64"/>
        <v/>
      </c>
      <c r="Q302" s="609" t="str">
        <f t="shared" si="64"/>
        <v/>
      </c>
      <c r="R302" s="609" t="str">
        <f t="shared" si="64"/>
        <v/>
      </c>
      <c r="S302" s="609" t="str">
        <f t="shared" si="64"/>
        <v/>
      </c>
      <c r="T302" s="609" t="str">
        <f t="shared" si="64"/>
        <v/>
      </c>
      <c r="U302" s="609" t="str">
        <f t="shared" si="64"/>
        <v/>
      </c>
      <c r="V302" s="609" t="str">
        <f t="shared" si="64"/>
        <v/>
      </c>
      <c r="W302" s="609" t="str">
        <f t="shared" si="64"/>
        <v/>
      </c>
      <c r="X302" s="609" t="str">
        <f t="shared" si="64"/>
        <v/>
      </c>
      <c r="Y302" s="609" t="str">
        <f t="shared" si="64"/>
        <v/>
      </c>
      <c r="Z302" s="609" t="str">
        <f t="shared" si="64"/>
        <v/>
      </c>
      <c r="AA302" s="609" t="str">
        <f t="shared" si="64"/>
        <v/>
      </c>
      <c r="AB302" s="609" t="str">
        <f t="shared" si="64"/>
        <v/>
      </c>
      <c r="AC302" s="609" t="str">
        <f t="shared" si="64"/>
        <v/>
      </c>
      <c r="AD302" s="609" t="str">
        <f t="shared" si="64"/>
        <v/>
      </c>
      <c r="AE302" s="609" t="str">
        <f t="shared" si="64"/>
        <v/>
      </c>
      <c r="AF302" s="609" t="str">
        <f t="shared" si="64"/>
        <v/>
      </c>
      <c r="AG302" s="609" t="str">
        <f t="shared" si="64"/>
        <v/>
      </c>
      <c r="AH302" s="609" t="str">
        <f t="shared" si="64"/>
        <v/>
      </c>
      <c r="AI302" s="609" t="str">
        <f t="shared" si="64"/>
        <v/>
      </c>
      <c r="AJ302" s="609" t="str">
        <f t="shared" si="64"/>
        <v/>
      </c>
      <c r="AK302" s="609" t="str">
        <f t="shared" si="64"/>
        <v/>
      </c>
      <c r="AL302" s="609" t="str">
        <f t="shared" si="64"/>
        <v/>
      </c>
      <c r="AM302" s="609" t="str">
        <f t="shared" si="64"/>
        <v/>
      </c>
      <c r="AN302" s="609" t="str">
        <f t="shared" si="64"/>
        <v/>
      </c>
      <c r="AO302" s="609" t="str">
        <f t="shared" si="64"/>
        <v/>
      </c>
      <c r="AP302" s="609" t="str">
        <f t="shared" si="64"/>
        <v/>
      </c>
      <c r="AQ302" s="609" t="str">
        <f t="shared" si="64"/>
        <v/>
      </c>
      <c r="AR302" s="609" t="str">
        <f t="shared" si="64"/>
        <v/>
      </c>
      <c r="AS302" s="609" t="str">
        <f t="shared" si="64"/>
        <v/>
      </c>
      <c r="AT302" s="609" t="str">
        <f t="shared" si="64"/>
        <v/>
      </c>
      <c r="AU302" s="609" t="str">
        <f t="shared" si="64"/>
        <v/>
      </c>
      <c r="AV302" s="609" t="str">
        <f t="shared" si="64"/>
        <v/>
      </c>
      <c r="AW302" s="609" t="str">
        <f t="shared" si="64"/>
        <v/>
      </c>
      <c r="AX302" s="609" t="str">
        <f t="shared" si="64"/>
        <v/>
      </c>
      <c r="AY302" s="609" t="str">
        <f t="shared" si="64"/>
        <v/>
      </c>
      <c r="AZ302" s="609" t="str">
        <f t="shared" si="64"/>
        <v/>
      </c>
      <c r="BA302" s="609" t="str">
        <f t="shared" si="64"/>
        <v/>
      </c>
      <c r="BB302" s="609" t="str">
        <f t="shared" si="64"/>
        <v/>
      </c>
      <c r="BC302" s="609" t="str">
        <f t="shared" si="64"/>
        <v/>
      </c>
      <c r="BD302" s="609" t="str">
        <f t="shared" si="64"/>
        <v/>
      </c>
      <c r="BE302" s="609" t="str">
        <f t="shared" si="64"/>
        <v/>
      </c>
      <c r="BF302" s="609" t="str">
        <f t="shared" si="64"/>
        <v/>
      </c>
      <c r="BG302" s="609" t="str">
        <f t="shared" si="64"/>
        <v/>
      </c>
    </row>
    <row r="303" spans="2:59" x14ac:dyDescent="0.25">
      <c r="B303" s="654">
        <v>297</v>
      </c>
      <c r="C303" s="654"/>
      <c r="D303" s="654"/>
      <c r="E303" s="655"/>
      <c r="F303" s="654"/>
      <c r="H303" s="609" t="str">
        <f t="shared" si="56"/>
        <v/>
      </c>
      <c r="I303" s="609" t="str">
        <f t="shared" si="64"/>
        <v/>
      </c>
      <c r="J303" s="609" t="str">
        <f t="shared" si="64"/>
        <v/>
      </c>
      <c r="K303" s="609" t="str">
        <f t="shared" si="64"/>
        <v/>
      </c>
      <c r="L303" s="609" t="str">
        <f t="shared" si="64"/>
        <v/>
      </c>
      <c r="M303" s="609" t="str">
        <f t="shared" si="64"/>
        <v/>
      </c>
      <c r="N303" s="609" t="str">
        <f t="shared" si="64"/>
        <v/>
      </c>
      <c r="O303" s="609" t="str">
        <f t="shared" si="64"/>
        <v/>
      </c>
      <c r="P303" s="609" t="str">
        <f t="shared" si="64"/>
        <v/>
      </c>
      <c r="Q303" s="609" t="str">
        <f t="shared" si="64"/>
        <v/>
      </c>
      <c r="R303" s="609" t="str">
        <f t="shared" si="64"/>
        <v/>
      </c>
      <c r="S303" s="609" t="str">
        <f t="shared" si="64"/>
        <v/>
      </c>
      <c r="T303" s="609" t="str">
        <f t="shared" si="64"/>
        <v/>
      </c>
      <c r="U303" s="609" t="str">
        <f t="shared" si="64"/>
        <v/>
      </c>
      <c r="V303" s="609" t="str">
        <f t="shared" si="64"/>
        <v/>
      </c>
      <c r="W303" s="609" t="str">
        <f t="shared" si="64"/>
        <v/>
      </c>
      <c r="X303" s="609" t="str">
        <f t="shared" si="64"/>
        <v/>
      </c>
      <c r="Y303" s="609" t="str">
        <f t="shared" si="64"/>
        <v/>
      </c>
      <c r="Z303" s="609" t="str">
        <f t="shared" si="64"/>
        <v/>
      </c>
      <c r="AA303" s="609" t="str">
        <f t="shared" si="64"/>
        <v/>
      </c>
      <c r="AB303" s="609" t="str">
        <f t="shared" si="64"/>
        <v/>
      </c>
      <c r="AC303" s="609" t="str">
        <f t="shared" si="64"/>
        <v/>
      </c>
      <c r="AD303" s="609" t="str">
        <f t="shared" si="64"/>
        <v/>
      </c>
      <c r="AE303" s="609" t="str">
        <f t="shared" si="64"/>
        <v/>
      </c>
      <c r="AF303" s="609" t="str">
        <f t="shared" si="64"/>
        <v/>
      </c>
      <c r="AG303" s="609" t="str">
        <f t="shared" si="64"/>
        <v/>
      </c>
      <c r="AH303" s="609" t="str">
        <f t="shared" si="64"/>
        <v/>
      </c>
      <c r="AI303" s="609" t="str">
        <f t="shared" si="64"/>
        <v/>
      </c>
      <c r="AJ303" s="609" t="str">
        <f t="shared" si="64"/>
        <v/>
      </c>
      <c r="AK303" s="609" t="str">
        <f t="shared" si="64"/>
        <v/>
      </c>
      <c r="AL303" s="609" t="str">
        <f t="shared" si="64"/>
        <v/>
      </c>
      <c r="AM303" s="609" t="str">
        <f t="shared" si="64"/>
        <v/>
      </c>
      <c r="AN303" s="609" t="str">
        <f t="shared" si="64"/>
        <v/>
      </c>
      <c r="AO303" s="609" t="str">
        <f t="shared" si="64"/>
        <v/>
      </c>
      <c r="AP303" s="609" t="str">
        <f t="shared" si="64"/>
        <v/>
      </c>
      <c r="AQ303" s="609" t="str">
        <f t="shared" si="64"/>
        <v/>
      </c>
      <c r="AR303" s="609" t="str">
        <f t="shared" si="64"/>
        <v/>
      </c>
      <c r="AS303" s="609" t="str">
        <f t="shared" si="64"/>
        <v/>
      </c>
      <c r="AT303" s="609" t="str">
        <f t="shared" si="64"/>
        <v/>
      </c>
      <c r="AU303" s="609" t="str">
        <f t="shared" si="64"/>
        <v/>
      </c>
      <c r="AV303" s="609" t="str">
        <f t="shared" si="64"/>
        <v/>
      </c>
      <c r="AW303" s="609" t="str">
        <f t="shared" si="64"/>
        <v/>
      </c>
      <c r="AX303" s="609" t="str">
        <f t="shared" si="64"/>
        <v/>
      </c>
      <c r="AY303" s="609" t="str">
        <f t="shared" si="64"/>
        <v/>
      </c>
      <c r="AZ303" s="609" t="str">
        <f t="shared" si="64"/>
        <v/>
      </c>
      <c r="BA303" s="609" t="str">
        <f t="shared" si="64"/>
        <v/>
      </c>
      <c r="BB303" s="609" t="str">
        <f t="shared" si="64"/>
        <v/>
      </c>
      <c r="BC303" s="609" t="str">
        <f t="shared" si="64"/>
        <v/>
      </c>
      <c r="BD303" s="609" t="str">
        <f t="shared" si="64"/>
        <v/>
      </c>
      <c r="BE303" s="609" t="str">
        <f t="shared" si="64"/>
        <v/>
      </c>
      <c r="BF303" s="609" t="str">
        <f t="shared" si="64"/>
        <v/>
      </c>
      <c r="BG303" s="609" t="str">
        <f t="shared" si="64"/>
        <v/>
      </c>
    </row>
    <row r="304" spans="2:59" x14ac:dyDescent="0.25">
      <c r="B304" s="654">
        <v>298</v>
      </c>
      <c r="C304" s="654"/>
      <c r="D304" s="654"/>
      <c r="E304" s="655"/>
      <c r="F304" s="654"/>
      <c r="H304" s="609" t="str">
        <f t="shared" si="56"/>
        <v/>
      </c>
      <c r="I304" s="609" t="str">
        <f t="shared" si="64"/>
        <v/>
      </c>
      <c r="J304" s="609" t="str">
        <f t="shared" si="64"/>
        <v/>
      </c>
      <c r="K304" s="609" t="str">
        <f t="shared" si="64"/>
        <v/>
      </c>
      <c r="L304" s="609" t="str">
        <f t="shared" si="64"/>
        <v/>
      </c>
      <c r="M304" s="609" t="str">
        <f t="shared" si="64"/>
        <v/>
      </c>
      <c r="N304" s="609" t="str">
        <f t="shared" si="64"/>
        <v/>
      </c>
      <c r="O304" s="609" t="str">
        <f t="shared" si="64"/>
        <v/>
      </c>
      <c r="P304" s="609" t="str">
        <f t="shared" si="64"/>
        <v/>
      </c>
      <c r="Q304" s="609" t="str">
        <f t="shared" si="64"/>
        <v/>
      </c>
      <c r="R304" s="609" t="str">
        <f t="shared" si="64"/>
        <v/>
      </c>
      <c r="S304" s="609" t="str">
        <f t="shared" si="64"/>
        <v/>
      </c>
      <c r="T304" s="609" t="str">
        <f t="shared" si="64"/>
        <v/>
      </c>
      <c r="U304" s="609" t="str">
        <f t="shared" si="64"/>
        <v/>
      </c>
      <c r="V304" s="609" t="str">
        <f t="shared" si="64"/>
        <v/>
      </c>
      <c r="W304" s="609" t="str">
        <f t="shared" si="64"/>
        <v/>
      </c>
      <c r="X304" s="609" t="str">
        <f t="shared" si="64"/>
        <v/>
      </c>
      <c r="Y304" s="609" t="str">
        <f t="shared" si="64"/>
        <v/>
      </c>
      <c r="Z304" s="609" t="str">
        <f t="shared" si="64"/>
        <v/>
      </c>
      <c r="AA304" s="609" t="str">
        <f t="shared" si="64"/>
        <v/>
      </c>
      <c r="AB304" s="609" t="str">
        <f t="shared" si="64"/>
        <v/>
      </c>
      <c r="AC304" s="609" t="str">
        <f t="shared" si="64"/>
        <v/>
      </c>
      <c r="AD304" s="609" t="str">
        <f t="shared" si="64"/>
        <v/>
      </c>
      <c r="AE304" s="609" t="str">
        <f t="shared" si="64"/>
        <v/>
      </c>
      <c r="AF304" s="609" t="str">
        <f t="shared" si="64"/>
        <v/>
      </c>
      <c r="AG304" s="609" t="str">
        <f t="shared" si="64"/>
        <v/>
      </c>
      <c r="AH304" s="609" t="str">
        <f t="shared" si="64"/>
        <v/>
      </c>
      <c r="AI304" s="609" t="str">
        <f t="shared" si="64"/>
        <v/>
      </c>
      <c r="AJ304" s="609" t="str">
        <f t="shared" si="64"/>
        <v/>
      </c>
      <c r="AK304" s="609" t="str">
        <f t="shared" si="64"/>
        <v/>
      </c>
      <c r="AL304" s="609" t="str">
        <f t="shared" si="64"/>
        <v/>
      </c>
      <c r="AM304" s="609" t="str">
        <f t="shared" si="64"/>
        <v/>
      </c>
      <c r="AN304" s="609" t="str">
        <f t="shared" si="64"/>
        <v/>
      </c>
      <c r="AO304" s="609" t="str">
        <f t="shared" si="64"/>
        <v/>
      </c>
      <c r="AP304" s="609" t="str">
        <f t="shared" si="64"/>
        <v/>
      </c>
      <c r="AQ304" s="609" t="str">
        <f t="shared" si="64"/>
        <v/>
      </c>
      <c r="AR304" s="609" t="str">
        <f t="shared" si="64"/>
        <v/>
      </c>
      <c r="AS304" s="609" t="str">
        <f t="shared" si="64"/>
        <v/>
      </c>
      <c r="AT304" s="609" t="str">
        <f t="shared" si="64"/>
        <v/>
      </c>
      <c r="AU304" s="609" t="str">
        <f t="shared" si="64"/>
        <v/>
      </c>
      <c r="AV304" s="609" t="str">
        <f t="shared" si="64"/>
        <v/>
      </c>
      <c r="AW304" s="609" t="str">
        <f t="shared" si="64"/>
        <v/>
      </c>
      <c r="AX304" s="609" t="str">
        <f t="shared" si="64"/>
        <v/>
      </c>
      <c r="AY304" s="609" t="str">
        <f t="shared" si="64"/>
        <v/>
      </c>
      <c r="AZ304" s="609" t="str">
        <f t="shared" si="64"/>
        <v/>
      </c>
      <c r="BA304" s="609" t="str">
        <f t="shared" si="64"/>
        <v/>
      </c>
      <c r="BB304" s="609" t="str">
        <f t="shared" si="64"/>
        <v/>
      </c>
      <c r="BC304" s="609" t="str">
        <f t="shared" si="64"/>
        <v/>
      </c>
      <c r="BD304" s="609" t="str">
        <f t="shared" si="64"/>
        <v/>
      </c>
      <c r="BE304" s="609" t="str">
        <f t="shared" si="64"/>
        <v/>
      </c>
      <c r="BF304" s="609" t="str">
        <f t="shared" si="64"/>
        <v/>
      </c>
      <c r="BG304" s="609" t="str">
        <f t="shared" si="64"/>
        <v/>
      </c>
    </row>
    <row r="305" spans="2:59" x14ac:dyDescent="0.25">
      <c r="B305" s="654">
        <v>299</v>
      </c>
      <c r="C305" s="654"/>
      <c r="D305" s="654"/>
      <c r="E305" s="655"/>
      <c r="F305" s="654"/>
      <c r="H305" s="609" t="str">
        <f t="shared" si="56"/>
        <v/>
      </c>
      <c r="I305" s="609" t="str">
        <f t="shared" ref="I305:BG309" si="65">IF($D305=I$6,$B305&amp;", ","")</f>
        <v/>
      </c>
      <c r="J305" s="609" t="str">
        <f t="shared" si="65"/>
        <v/>
      </c>
      <c r="K305" s="609" t="str">
        <f t="shared" si="65"/>
        <v/>
      </c>
      <c r="L305" s="609" t="str">
        <f t="shared" si="65"/>
        <v/>
      </c>
      <c r="M305" s="609" t="str">
        <f t="shared" si="65"/>
        <v/>
      </c>
      <c r="N305" s="609" t="str">
        <f t="shared" si="65"/>
        <v/>
      </c>
      <c r="O305" s="609" t="str">
        <f t="shared" si="65"/>
        <v/>
      </c>
      <c r="P305" s="609" t="str">
        <f t="shared" si="65"/>
        <v/>
      </c>
      <c r="Q305" s="609" t="str">
        <f t="shared" si="65"/>
        <v/>
      </c>
      <c r="R305" s="609" t="str">
        <f t="shared" si="65"/>
        <v/>
      </c>
      <c r="S305" s="609" t="str">
        <f t="shared" si="65"/>
        <v/>
      </c>
      <c r="T305" s="609" t="str">
        <f t="shared" si="65"/>
        <v/>
      </c>
      <c r="U305" s="609" t="str">
        <f t="shared" si="65"/>
        <v/>
      </c>
      <c r="V305" s="609" t="str">
        <f t="shared" si="65"/>
        <v/>
      </c>
      <c r="W305" s="609" t="str">
        <f t="shared" si="65"/>
        <v/>
      </c>
      <c r="X305" s="609" t="str">
        <f t="shared" si="65"/>
        <v/>
      </c>
      <c r="Y305" s="609" t="str">
        <f t="shared" si="65"/>
        <v/>
      </c>
      <c r="Z305" s="609" t="str">
        <f t="shared" si="65"/>
        <v/>
      </c>
      <c r="AA305" s="609" t="str">
        <f t="shared" si="65"/>
        <v/>
      </c>
      <c r="AB305" s="609" t="str">
        <f t="shared" si="65"/>
        <v/>
      </c>
      <c r="AC305" s="609" t="str">
        <f t="shared" si="65"/>
        <v/>
      </c>
      <c r="AD305" s="609" t="str">
        <f t="shared" si="65"/>
        <v/>
      </c>
      <c r="AE305" s="609" t="str">
        <f t="shared" si="65"/>
        <v/>
      </c>
      <c r="AF305" s="609" t="str">
        <f t="shared" si="65"/>
        <v/>
      </c>
      <c r="AG305" s="609" t="str">
        <f t="shared" si="65"/>
        <v/>
      </c>
      <c r="AH305" s="609" t="str">
        <f t="shared" si="65"/>
        <v/>
      </c>
      <c r="AI305" s="609" t="str">
        <f t="shared" si="65"/>
        <v/>
      </c>
      <c r="AJ305" s="609" t="str">
        <f t="shared" si="65"/>
        <v/>
      </c>
      <c r="AK305" s="609" t="str">
        <f t="shared" si="65"/>
        <v/>
      </c>
      <c r="AL305" s="609" t="str">
        <f t="shared" si="65"/>
        <v/>
      </c>
      <c r="AM305" s="609" t="str">
        <f t="shared" si="65"/>
        <v/>
      </c>
      <c r="AN305" s="609" t="str">
        <f t="shared" si="65"/>
        <v/>
      </c>
      <c r="AO305" s="609" t="str">
        <f t="shared" si="65"/>
        <v/>
      </c>
      <c r="AP305" s="609" t="str">
        <f t="shared" si="65"/>
        <v/>
      </c>
      <c r="AQ305" s="609" t="str">
        <f t="shared" si="65"/>
        <v/>
      </c>
      <c r="AR305" s="609" t="str">
        <f t="shared" si="65"/>
        <v/>
      </c>
      <c r="AS305" s="609" t="str">
        <f t="shared" si="65"/>
        <v/>
      </c>
      <c r="AT305" s="609" t="str">
        <f t="shared" si="65"/>
        <v/>
      </c>
      <c r="AU305" s="609" t="str">
        <f t="shared" si="65"/>
        <v/>
      </c>
      <c r="AV305" s="609" t="str">
        <f t="shared" si="65"/>
        <v/>
      </c>
      <c r="AW305" s="609" t="str">
        <f t="shared" si="65"/>
        <v/>
      </c>
      <c r="AX305" s="609" t="str">
        <f t="shared" si="65"/>
        <v/>
      </c>
      <c r="AY305" s="609" t="str">
        <f t="shared" si="65"/>
        <v/>
      </c>
      <c r="AZ305" s="609" t="str">
        <f t="shared" si="65"/>
        <v/>
      </c>
      <c r="BA305" s="609" t="str">
        <f t="shared" si="65"/>
        <v/>
      </c>
      <c r="BB305" s="609" t="str">
        <f t="shared" si="65"/>
        <v/>
      </c>
      <c r="BC305" s="609" t="str">
        <f t="shared" si="65"/>
        <v/>
      </c>
      <c r="BD305" s="609" t="str">
        <f t="shared" si="65"/>
        <v/>
      </c>
      <c r="BE305" s="609" t="str">
        <f t="shared" si="65"/>
        <v/>
      </c>
      <c r="BF305" s="609" t="str">
        <f t="shared" si="65"/>
        <v/>
      </c>
      <c r="BG305" s="609" t="str">
        <f t="shared" si="65"/>
        <v/>
      </c>
    </row>
    <row r="306" spans="2:59" x14ac:dyDescent="0.25">
      <c r="B306" s="654">
        <v>300</v>
      </c>
      <c r="C306" s="654"/>
      <c r="D306" s="654"/>
      <c r="E306" s="655"/>
      <c r="F306" s="654"/>
      <c r="H306" s="609" t="str">
        <f t="shared" si="56"/>
        <v/>
      </c>
      <c r="I306" s="609" t="str">
        <f t="shared" si="65"/>
        <v/>
      </c>
      <c r="J306" s="609" t="str">
        <f t="shared" si="65"/>
        <v/>
      </c>
      <c r="K306" s="609" t="str">
        <f t="shared" si="65"/>
        <v/>
      </c>
      <c r="L306" s="609" t="str">
        <f t="shared" si="65"/>
        <v/>
      </c>
      <c r="M306" s="609" t="str">
        <f t="shared" si="65"/>
        <v/>
      </c>
      <c r="N306" s="609" t="str">
        <f t="shared" si="65"/>
        <v/>
      </c>
      <c r="O306" s="609" t="str">
        <f t="shared" si="65"/>
        <v/>
      </c>
      <c r="P306" s="609" t="str">
        <f t="shared" si="65"/>
        <v/>
      </c>
      <c r="Q306" s="609" t="str">
        <f t="shared" si="65"/>
        <v/>
      </c>
      <c r="R306" s="609" t="str">
        <f t="shared" si="65"/>
        <v/>
      </c>
      <c r="S306" s="609" t="str">
        <f t="shared" si="65"/>
        <v/>
      </c>
      <c r="T306" s="609" t="str">
        <f t="shared" si="65"/>
        <v/>
      </c>
      <c r="U306" s="609" t="str">
        <f t="shared" si="65"/>
        <v/>
      </c>
      <c r="V306" s="609" t="str">
        <f t="shared" si="65"/>
        <v/>
      </c>
      <c r="W306" s="609" t="str">
        <f t="shared" si="65"/>
        <v/>
      </c>
      <c r="X306" s="609" t="str">
        <f t="shared" si="65"/>
        <v/>
      </c>
      <c r="Y306" s="609" t="str">
        <f t="shared" si="65"/>
        <v/>
      </c>
      <c r="Z306" s="609" t="str">
        <f t="shared" si="65"/>
        <v/>
      </c>
      <c r="AA306" s="609" t="str">
        <f t="shared" si="65"/>
        <v/>
      </c>
      <c r="AB306" s="609" t="str">
        <f t="shared" si="65"/>
        <v/>
      </c>
      <c r="AC306" s="609" t="str">
        <f t="shared" si="65"/>
        <v/>
      </c>
      <c r="AD306" s="609" t="str">
        <f t="shared" si="65"/>
        <v/>
      </c>
      <c r="AE306" s="609" t="str">
        <f t="shared" si="65"/>
        <v/>
      </c>
      <c r="AF306" s="609" t="str">
        <f t="shared" si="65"/>
        <v/>
      </c>
      <c r="AG306" s="609" t="str">
        <f t="shared" si="65"/>
        <v/>
      </c>
      <c r="AH306" s="609" t="str">
        <f t="shared" si="65"/>
        <v/>
      </c>
      <c r="AI306" s="609" t="str">
        <f t="shared" si="65"/>
        <v/>
      </c>
      <c r="AJ306" s="609" t="str">
        <f t="shared" si="65"/>
        <v/>
      </c>
      <c r="AK306" s="609" t="str">
        <f t="shared" si="65"/>
        <v/>
      </c>
      <c r="AL306" s="609" t="str">
        <f t="shared" si="65"/>
        <v/>
      </c>
      <c r="AM306" s="609" t="str">
        <f t="shared" si="65"/>
        <v/>
      </c>
      <c r="AN306" s="609" t="str">
        <f t="shared" si="65"/>
        <v/>
      </c>
      <c r="AO306" s="609" t="str">
        <f t="shared" si="65"/>
        <v/>
      </c>
      <c r="AP306" s="609" t="str">
        <f t="shared" si="65"/>
        <v/>
      </c>
      <c r="AQ306" s="609" t="str">
        <f t="shared" si="65"/>
        <v/>
      </c>
      <c r="AR306" s="609" t="str">
        <f t="shared" si="65"/>
        <v/>
      </c>
      <c r="AS306" s="609" t="str">
        <f t="shared" si="65"/>
        <v/>
      </c>
      <c r="AT306" s="609" t="str">
        <f t="shared" si="65"/>
        <v/>
      </c>
      <c r="AU306" s="609" t="str">
        <f t="shared" si="65"/>
        <v/>
      </c>
      <c r="AV306" s="609" t="str">
        <f t="shared" si="65"/>
        <v/>
      </c>
      <c r="AW306" s="609" t="str">
        <f t="shared" si="65"/>
        <v/>
      </c>
      <c r="AX306" s="609" t="str">
        <f t="shared" si="65"/>
        <v/>
      </c>
      <c r="AY306" s="609" t="str">
        <f t="shared" si="65"/>
        <v/>
      </c>
      <c r="AZ306" s="609" t="str">
        <f t="shared" si="65"/>
        <v/>
      </c>
      <c r="BA306" s="609" t="str">
        <f t="shared" si="65"/>
        <v/>
      </c>
      <c r="BB306" s="609" t="str">
        <f t="shared" si="65"/>
        <v/>
      </c>
      <c r="BC306" s="609" t="str">
        <f t="shared" si="65"/>
        <v/>
      </c>
      <c r="BD306" s="609" t="str">
        <f t="shared" si="65"/>
        <v/>
      </c>
      <c r="BE306" s="609" t="str">
        <f t="shared" si="65"/>
        <v/>
      </c>
      <c r="BF306" s="609" t="str">
        <f t="shared" si="65"/>
        <v/>
      </c>
      <c r="BG306" s="609" t="str">
        <f t="shared" si="65"/>
        <v/>
      </c>
    </row>
    <row r="307" spans="2:59" x14ac:dyDescent="0.25">
      <c r="B307" s="654">
        <v>301</v>
      </c>
      <c r="C307" s="654"/>
      <c r="D307" s="654"/>
      <c r="E307" s="655"/>
      <c r="F307" s="654"/>
      <c r="H307" s="609" t="str">
        <f t="shared" si="56"/>
        <v/>
      </c>
      <c r="I307" s="609" t="str">
        <f t="shared" si="65"/>
        <v/>
      </c>
      <c r="J307" s="609" t="str">
        <f t="shared" si="65"/>
        <v/>
      </c>
      <c r="K307" s="609" t="str">
        <f t="shared" si="65"/>
        <v/>
      </c>
      <c r="L307" s="609" t="str">
        <f t="shared" si="65"/>
        <v/>
      </c>
      <c r="M307" s="609" t="str">
        <f t="shared" si="65"/>
        <v/>
      </c>
      <c r="N307" s="609" t="str">
        <f t="shared" si="65"/>
        <v/>
      </c>
      <c r="O307" s="609" t="str">
        <f t="shared" si="65"/>
        <v/>
      </c>
      <c r="P307" s="609" t="str">
        <f t="shared" si="65"/>
        <v/>
      </c>
      <c r="Q307" s="609" t="str">
        <f t="shared" si="65"/>
        <v/>
      </c>
      <c r="R307" s="609" t="str">
        <f t="shared" si="65"/>
        <v/>
      </c>
      <c r="S307" s="609" t="str">
        <f t="shared" si="65"/>
        <v/>
      </c>
      <c r="T307" s="609" t="str">
        <f t="shared" si="65"/>
        <v/>
      </c>
      <c r="U307" s="609" t="str">
        <f t="shared" si="65"/>
        <v/>
      </c>
      <c r="V307" s="609" t="str">
        <f t="shared" si="65"/>
        <v/>
      </c>
      <c r="W307" s="609" t="str">
        <f t="shared" si="65"/>
        <v/>
      </c>
      <c r="X307" s="609" t="str">
        <f t="shared" si="65"/>
        <v/>
      </c>
      <c r="Y307" s="609" t="str">
        <f t="shared" si="65"/>
        <v/>
      </c>
      <c r="Z307" s="609" t="str">
        <f t="shared" si="65"/>
        <v/>
      </c>
      <c r="AA307" s="609" t="str">
        <f t="shared" si="65"/>
        <v/>
      </c>
      <c r="AB307" s="609" t="str">
        <f t="shared" si="65"/>
        <v/>
      </c>
      <c r="AC307" s="609" t="str">
        <f t="shared" si="65"/>
        <v/>
      </c>
      <c r="AD307" s="609" t="str">
        <f t="shared" si="65"/>
        <v/>
      </c>
      <c r="AE307" s="609" t="str">
        <f t="shared" si="65"/>
        <v/>
      </c>
      <c r="AF307" s="609" t="str">
        <f t="shared" si="65"/>
        <v/>
      </c>
      <c r="AG307" s="609" t="str">
        <f t="shared" si="65"/>
        <v/>
      </c>
      <c r="AH307" s="609" t="str">
        <f t="shared" si="65"/>
        <v/>
      </c>
      <c r="AI307" s="609" t="str">
        <f t="shared" si="65"/>
        <v/>
      </c>
      <c r="AJ307" s="609" t="str">
        <f t="shared" si="65"/>
        <v/>
      </c>
      <c r="AK307" s="609" t="str">
        <f t="shared" si="65"/>
        <v/>
      </c>
      <c r="AL307" s="609" t="str">
        <f t="shared" si="65"/>
        <v/>
      </c>
      <c r="AM307" s="609" t="str">
        <f t="shared" si="65"/>
        <v/>
      </c>
      <c r="AN307" s="609" t="str">
        <f t="shared" si="65"/>
        <v/>
      </c>
      <c r="AO307" s="609" t="str">
        <f t="shared" si="65"/>
        <v/>
      </c>
      <c r="AP307" s="609" t="str">
        <f t="shared" si="65"/>
        <v/>
      </c>
      <c r="AQ307" s="609" t="str">
        <f t="shared" si="65"/>
        <v/>
      </c>
      <c r="AR307" s="609" t="str">
        <f t="shared" si="65"/>
        <v/>
      </c>
      <c r="AS307" s="609" t="str">
        <f t="shared" si="65"/>
        <v/>
      </c>
      <c r="AT307" s="609" t="str">
        <f t="shared" si="65"/>
        <v/>
      </c>
      <c r="AU307" s="609" t="str">
        <f t="shared" si="65"/>
        <v/>
      </c>
      <c r="AV307" s="609" t="str">
        <f t="shared" si="65"/>
        <v/>
      </c>
      <c r="AW307" s="609" t="str">
        <f t="shared" si="65"/>
        <v/>
      </c>
      <c r="AX307" s="609" t="str">
        <f t="shared" si="65"/>
        <v/>
      </c>
      <c r="AY307" s="609" t="str">
        <f t="shared" si="65"/>
        <v/>
      </c>
      <c r="AZ307" s="609" t="str">
        <f t="shared" si="65"/>
        <v/>
      </c>
      <c r="BA307" s="609" t="str">
        <f t="shared" si="65"/>
        <v/>
      </c>
      <c r="BB307" s="609" t="str">
        <f t="shared" si="65"/>
        <v/>
      </c>
      <c r="BC307" s="609" t="str">
        <f t="shared" si="65"/>
        <v/>
      </c>
      <c r="BD307" s="609" t="str">
        <f t="shared" si="65"/>
        <v/>
      </c>
      <c r="BE307" s="609" t="str">
        <f t="shared" si="65"/>
        <v/>
      </c>
      <c r="BF307" s="609" t="str">
        <f t="shared" si="65"/>
        <v/>
      </c>
      <c r="BG307" s="609" t="str">
        <f t="shared" si="65"/>
        <v/>
      </c>
    </row>
    <row r="308" spans="2:59" x14ac:dyDescent="0.25">
      <c r="B308" s="654">
        <v>302</v>
      </c>
      <c r="C308" s="654"/>
      <c r="D308" s="654"/>
      <c r="E308" s="655"/>
      <c r="F308" s="654"/>
      <c r="H308" s="609" t="str">
        <f t="shared" ref="H308:W325" si="66">IF($D308=H$6,$B308&amp;", ","")</f>
        <v/>
      </c>
      <c r="I308" s="609" t="str">
        <f t="shared" si="65"/>
        <v/>
      </c>
      <c r="J308" s="609" t="str">
        <f t="shared" si="65"/>
        <v/>
      </c>
      <c r="K308" s="609" t="str">
        <f t="shared" si="65"/>
        <v/>
      </c>
      <c r="L308" s="609" t="str">
        <f t="shared" si="65"/>
        <v/>
      </c>
      <c r="M308" s="609" t="str">
        <f t="shared" si="65"/>
        <v/>
      </c>
      <c r="N308" s="609" t="str">
        <f t="shared" si="65"/>
        <v/>
      </c>
      <c r="O308" s="609" t="str">
        <f t="shared" si="65"/>
        <v/>
      </c>
      <c r="P308" s="609" t="str">
        <f t="shared" si="65"/>
        <v/>
      </c>
      <c r="Q308" s="609" t="str">
        <f t="shared" si="65"/>
        <v/>
      </c>
      <c r="R308" s="609" t="str">
        <f t="shared" si="65"/>
        <v/>
      </c>
      <c r="S308" s="609" t="str">
        <f t="shared" si="65"/>
        <v/>
      </c>
      <c r="T308" s="609" t="str">
        <f t="shared" si="65"/>
        <v/>
      </c>
      <c r="U308" s="609" t="str">
        <f t="shared" si="65"/>
        <v/>
      </c>
      <c r="V308" s="609" t="str">
        <f t="shared" si="65"/>
        <v/>
      </c>
      <c r="W308" s="609" t="str">
        <f t="shared" si="65"/>
        <v/>
      </c>
      <c r="X308" s="609" t="str">
        <f t="shared" si="65"/>
        <v/>
      </c>
      <c r="Y308" s="609" t="str">
        <f t="shared" si="65"/>
        <v/>
      </c>
      <c r="Z308" s="609" t="str">
        <f t="shared" si="65"/>
        <v/>
      </c>
      <c r="AA308" s="609" t="str">
        <f t="shared" si="65"/>
        <v/>
      </c>
      <c r="AB308" s="609" t="str">
        <f t="shared" si="65"/>
        <v/>
      </c>
      <c r="AC308" s="609" t="str">
        <f t="shared" si="65"/>
        <v/>
      </c>
      <c r="AD308" s="609" t="str">
        <f t="shared" si="65"/>
        <v/>
      </c>
      <c r="AE308" s="609" t="str">
        <f t="shared" si="65"/>
        <v/>
      </c>
      <c r="AF308" s="609" t="str">
        <f t="shared" si="65"/>
        <v/>
      </c>
      <c r="AG308" s="609" t="str">
        <f t="shared" si="65"/>
        <v/>
      </c>
      <c r="AH308" s="609" t="str">
        <f t="shared" si="65"/>
        <v/>
      </c>
      <c r="AI308" s="609" t="str">
        <f t="shared" si="65"/>
        <v/>
      </c>
      <c r="AJ308" s="609" t="str">
        <f t="shared" si="65"/>
        <v/>
      </c>
      <c r="AK308" s="609" t="str">
        <f t="shared" si="65"/>
        <v/>
      </c>
      <c r="AL308" s="609" t="str">
        <f t="shared" si="65"/>
        <v/>
      </c>
      <c r="AM308" s="609" t="str">
        <f t="shared" si="65"/>
        <v/>
      </c>
      <c r="AN308" s="609" t="str">
        <f t="shared" si="65"/>
        <v/>
      </c>
      <c r="AO308" s="609" t="str">
        <f t="shared" si="65"/>
        <v/>
      </c>
      <c r="AP308" s="609" t="str">
        <f t="shared" si="65"/>
        <v/>
      </c>
      <c r="AQ308" s="609" t="str">
        <f t="shared" si="65"/>
        <v/>
      </c>
      <c r="AR308" s="609" t="str">
        <f t="shared" si="65"/>
        <v/>
      </c>
      <c r="AS308" s="609" t="str">
        <f t="shared" si="65"/>
        <v/>
      </c>
      <c r="AT308" s="609" t="str">
        <f t="shared" si="65"/>
        <v/>
      </c>
      <c r="AU308" s="609" t="str">
        <f t="shared" si="65"/>
        <v/>
      </c>
      <c r="AV308" s="609" t="str">
        <f t="shared" si="65"/>
        <v/>
      </c>
      <c r="AW308" s="609" t="str">
        <f t="shared" si="65"/>
        <v/>
      </c>
      <c r="AX308" s="609" t="str">
        <f t="shared" si="65"/>
        <v/>
      </c>
      <c r="AY308" s="609" t="str">
        <f t="shared" si="65"/>
        <v/>
      </c>
      <c r="AZ308" s="609" t="str">
        <f t="shared" si="65"/>
        <v/>
      </c>
      <c r="BA308" s="609" t="str">
        <f t="shared" si="65"/>
        <v/>
      </c>
      <c r="BB308" s="609" t="str">
        <f t="shared" si="65"/>
        <v/>
      </c>
      <c r="BC308" s="609" t="str">
        <f t="shared" si="65"/>
        <v/>
      </c>
      <c r="BD308" s="609" t="str">
        <f t="shared" si="65"/>
        <v/>
      </c>
      <c r="BE308" s="609" t="str">
        <f t="shared" si="65"/>
        <v/>
      </c>
      <c r="BF308" s="609" t="str">
        <f t="shared" si="65"/>
        <v/>
      </c>
      <c r="BG308" s="609" t="str">
        <f t="shared" si="65"/>
        <v/>
      </c>
    </row>
    <row r="309" spans="2:59" x14ac:dyDescent="0.25">
      <c r="B309" s="654">
        <v>303</v>
      </c>
      <c r="C309" s="654"/>
      <c r="D309" s="654"/>
      <c r="E309" s="655"/>
      <c r="F309" s="654"/>
      <c r="H309" s="609" t="str">
        <f t="shared" si="66"/>
        <v/>
      </c>
      <c r="I309" s="609" t="str">
        <f t="shared" si="65"/>
        <v/>
      </c>
      <c r="J309" s="609" t="str">
        <f t="shared" si="65"/>
        <v/>
      </c>
      <c r="K309" s="609" t="str">
        <f t="shared" si="65"/>
        <v/>
      </c>
      <c r="L309" s="609" t="str">
        <f t="shared" si="65"/>
        <v/>
      </c>
      <c r="M309" s="609" t="str">
        <f t="shared" si="65"/>
        <v/>
      </c>
      <c r="N309" s="609" t="str">
        <f t="shared" si="65"/>
        <v/>
      </c>
      <c r="O309" s="609" t="str">
        <f t="shared" si="65"/>
        <v/>
      </c>
      <c r="P309" s="609" t="str">
        <f t="shared" si="65"/>
        <v/>
      </c>
      <c r="Q309" s="609" t="str">
        <f t="shared" si="65"/>
        <v/>
      </c>
      <c r="R309" s="609" t="str">
        <f t="shared" si="65"/>
        <v/>
      </c>
      <c r="S309" s="609" t="str">
        <f t="shared" si="65"/>
        <v/>
      </c>
      <c r="T309" s="609" t="str">
        <f t="shared" si="65"/>
        <v/>
      </c>
      <c r="U309" s="609" t="str">
        <f t="shared" si="65"/>
        <v/>
      </c>
      <c r="V309" s="609" t="str">
        <f t="shared" si="65"/>
        <v/>
      </c>
      <c r="W309" s="609" t="str">
        <f t="shared" si="65"/>
        <v/>
      </c>
      <c r="X309" s="609" t="str">
        <f t="shared" si="65"/>
        <v/>
      </c>
      <c r="Y309" s="609" t="str">
        <f t="shared" si="65"/>
        <v/>
      </c>
      <c r="Z309" s="609" t="str">
        <f t="shared" si="65"/>
        <v/>
      </c>
      <c r="AA309" s="609" t="str">
        <f t="shared" si="65"/>
        <v/>
      </c>
      <c r="AB309" s="609" t="str">
        <f t="shared" si="65"/>
        <v/>
      </c>
      <c r="AC309" s="609" t="str">
        <f t="shared" si="65"/>
        <v/>
      </c>
      <c r="AD309" s="609" t="str">
        <f t="shared" si="65"/>
        <v/>
      </c>
      <c r="AE309" s="609" t="str">
        <f t="shared" si="65"/>
        <v/>
      </c>
      <c r="AF309" s="609" t="str">
        <f t="shared" si="65"/>
        <v/>
      </c>
      <c r="AG309" s="609" t="str">
        <f t="shared" si="65"/>
        <v/>
      </c>
      <c r="AH309" s="609" t="str">
        <f t="shared" si="65"/>
        <v/>
      </c>
      <c r="AI309" s="609" t="str">
        <f t="shared" si="65"/>
        <v/>
      </c>
      <c r="AJ309" s="609" t="str">
        <f t="shared" si="65"/>
        <v/>
      </c>
      <c r="AK309" s="609" t="str">
        <f t="shared" si="65"/>
        <v/>
      </c>
      <c r="AL309" s="609" t="str">
        <f t="shared" si="65"/>
        <v/>
      </c>
      <c r="AM309" s="609" t="str">
        <f t="shared" si="65"/>
        <v/>
      </c>
      <c r="AN309" s="609" t="str">
        <f t="shared" si="65"/>
        <v/>
      </c>
      <c r="AO309" s="609" t="str">
        <f t="shared" si="65"/>
        <v/>
      </c>
      <c r="AP309" s="609" t="str">
        <f t="shared" si="65"/>
        <v/>
      </c>
      <c r="AQ309" s="609" t="str">
        <f t="shared" si="65"/>
        <v/>
      </c>
      <c r="AR309" s="609" t="str">
        <f t="shared" si="65"/>
        <v/>
      </c>
      <c r="AS309" s="609" t="str">
        <f t="shared" si="65"/>
        <v/>
      </c>
      <c r="AT309" s="609" t="str">
        <f t="shared" si="65"/>
        <v/>
      </c>
      <c r="AU309" s="609" t="str">
        <f t="shared" si="65"/>
        <v/>
      </c>
      <c r="AV309" s="609" t="str">
        <f t="shared" si="65"/>
        <v/>
      </c>
      <c r="AW309" s="609" t="str">
        <f t="shared" si="65"/>
        <v/>
      </c>
      <c r="AX309" s="609" t="str">
        <f t="shared" si="65"/>
        <v/>
      </c>
      <c r="AY309" s="609" t="str">
        <f t="shared" si="65"/>
        <v/>
      </c>
      <c r="AZ309" s="609" t="str">
        <f t="shared" si="65"/>
        <v/>
      </c>
      <c r="BA309" s="609" t="str">
        <f t="shared" si="65"/>
        <v/>
      </c>
      <c r="BB309" s="609" t="str">
        <f t="shared" si="65"/>
        <v/>
      </c>
      <c r="BC309" s="609" t="str">
        <f t="shared" si="65"/>
        <v/>
      </c>
      <c r="BD309" s="609" t="str">
        <f t="shared" si="65"/>
        <v/>
      </c>
      <c r="BE309" s="609" t="str">
        <f t="shared" si="65"/>
        <v/>
      </c>
      <c r="BF309" s="609" t="str">
        <f t="shared" si="65"/>
        <v/>
      </c>
      <c r="BG309" s="609" t="str">
        <f t="shared" si="65"/>
        <v/>
      </c>
    </row>
    <row r="310" spans="2:59" x14ac:dyDescent="0.25">
      <c r="B310" s="654">
        <v>304</v>
      </c>
      <c r="C310" s="654"/>
      <c r="D310" s="654"/>
      <c r="E310" s="655"/>
      <c r="F310" s="654"/>
      <c r="H310" s="609" t="str">
        <f t="shared" si="66"/>
        <v/>
      </c>
      <c r="I310" s="609" t="str">
        <f t="shared" si="66"/>
        <v/>
      </c>
      <c r="J310" s="609" t="str">
        <f t="shared" si="66"/>
        <v/>
      </c>
      <c r="K310" s="609" t="str">
        <f t="shared" si="66"/>
        <v/>
      </c>
      <c r="L310" s="609" t="str">
        <f t="shared" si="66"/>
        <v/>
      </c>
      <c r="M310" s="609" t="str">
        <f t="shared" si="66"/>
        <v/>
      </c>
      <c r="N310" s="609" t="str">
        <f t="shared" si="66"/>
        <v/>
      </c>
      <c r="O310" s="609" t="str">
        <f t="shared" si="66"/>
        <v/>
      </c>
      <c r="P310" s="609" t="str">
        <f t="shared" si="66"/>
        <v/>
      </c>
      <c r="Q310" s="609" t="str">
        <f t="shared" si="66"/>
        <v/>
      </c>
      <c r="R310" s="609" t="str">
        <f t="shared" si="66"/>
        <v/>
      </c>
      <c r="S310" s="609" t="str">
        <f t="shared" si="66"/>
        <v/>
      </c>
      <c r="T310" s="609" t="str">
        <f t="shared" si="66"/>
        <v/>
      </c>
      <c r="U310" s="609" t="str">
        <f t="shared" si="66"/>
        <v/>
      </c>
      <c r="V310" s="609" t="str">
        <f t="shared" si="66"/>
        <v/>
      </c>
      <c r="W310" s="609" t="str">
        <f t="shared" si="66"/>
        <v/>
      </c>
      <c r="X310" s="609" t="str">
        <f t="shared" ref="X310:AM329" si="67">IF($D310=X$6,$B310&amp;", ","")</f>
        <v/>
      </c>
      <c r="Y310" s="609" t="str">
        <f t="shared" si="67"/>
        <v/>
      </c>
      <c r="Z310" s="609" t="str">
        <f t="shared" si="67"/>
        <v/>
      </c>
      <c r="AA310" s="609" t="str">
        <f t="shared" si="67"/>
        <v/>
      </c>
      <c r="AB310" s="609" t="str">
        <f t="shared" si="67"/>
        <v/>
      </c>
      <c r="AC310" s="609" t="str">
        <f t="shared" si="67"/>
        <v/>
      </c>
      <c r="AD310" s="609" t="str">
        <f t="shared" si="67"/>
        <v/>
      </c>
      <c r="AE310" s="609" t="str">
        <f t="shared" si="67"/>
        <v/>
      </c>
      <c r="AF310" s="609" t="str">
        <f t="shared" si="67"/>
        <v/>
      </c>
      <c r="AG310" s="609" t="str">
        <f t="shared" si="67"/>
        <v/>
      </c>
      <c r="AH310" s="609" t="str">
        <f t="shared" si="67"/>
        <v/>
      </c>
      <c r="AI310" s="609" t="str">
        <f t="shared" si="67"/>
        <v/>
      </c>
      <c r="AJ310" s="609" t="str">
        <f t="shared" si="67"/>
        <v/>
      </c>
      <c r="AK310" s="609" t="str">
        <f t="shared" si="67"/>
        <v/>
      </c>
      <c r="AL310" s="609" t="str">
        <f t="shared" si="67"/>
        <v/>
      </c>
      <c r="AM310" s="609" t="str">
        <f t="shared" si="67"/>
        <v/>
      </c>
      <c r="AN310" s="609" t="str">
        <f t="shared" ref="AN310:BC325" si="68">IF($D310=AN$6,$B310&amp;", ","")</f>
        <v/>
      </c>
      <c r="AO310" s="609" t="str">
        <f t="shared" si="68"/>
        <v/>
      </c>
      <c r="AP310" s="609" t="str">
        <f t="shared" si="68"/>
        <v/>
      </c>
      <c r="AQ310" s="609" t="str">
        <f t="shared" si="68"/>
        <v/>
      </c>
      <c r="AR310" s="609" t="str">
        <f t="shared" si="68"/>
        <v/>
      </c>
      <c r="AS310" s="609" t="str">
        <f t="shared" si="68"/>
        <v/>
      </c>
      <c r="AT310" s="609" t="str">
        <f t="shared" si="68"/>
        <v/>
      </c>
      <c r="AU310" s="609" t="str">
        <f t="shared" si="68"/>
        <v/>
      </c>
      <c r="AV310" s="609" t="str">
        <f t="shared" si="68"/>
        <v/>
      </c>
      <c r="AW310" s="609" t="str">
        <f t="shared" si="68"/>
        <v/>
      </c>
      <c r="AX310" s="609" t="str">
        <f t="shared" si="68"/>
        <v/>
      </c>
      <c r="AY310" s="609" t="str">
        <f t="shared" si="68"/>
        <v/>
      </c>
      <c r="AZ310" s="609" t="str">
        <f t="shared" si="68"/>
        <v/>
      </c>
      <c r="BA310" s="609" t="str">
        <f t="shared" si="68"/>
        <v/>
      </c>
      <c r="BB310" s="609" t="str">
        <f t="shared" si="68"/>
        <v/>
      </c>
      <c r="BC310" s="609" t="str">
        <f t="shared" si="68"/>
        <v/>
      </c>
      <c r="BD310" s="609" t="str">
        <f t="shared" ref="BD310:BG324" si="69">IF($D310=BD$6,$B310&amp;", ","")</f>
        <v/>
      </c>
      <c r="BE310" s="609" t="str">
        <f t="shared" si="69"/>
        <v/>
      </c>
      <c r="BF310" s="609" t="str">
        <f t="shared" si="69"/>
        <v/>
      </c>
      <c r="BG310" s="609" t="str">
        <f t="shared" si="69"/>
        <v/>
      </c>
    </row>
    <row r="311" spans="2:59" x14ac:dyDescent="0.25">
      <c r="B311" s="654">
        <v>305</v>
      </c>
      <c r="C311" s="654"/>
      <c r="D311" s="654"/>
      <c r="E311" s="655"/>
      <c r="F311" s="654"/>
      <c r="H311" s="609" t="str">
        <f t="shared" si="66"/>
        <v/>
      </c>
      <c r="I311" s="609" t="str">
        <f t="shared" si="66"/>
        <v/>
      </c>
      <c r="J311" s="609" t="str">
        <f t="shared" si="66"/>
        <v/>
      </c>
      <c r="K311" s="609" t="str">
        <f t="shared" si="66"/>
        <v/>
      </c>
      <c r="L311" s="609" t="str">
        <f t="shared" si="66"/>
        <v/>
      </c>
      <c r="M311" s="609" t="str">
        <f t="shared" si="66"/>
        <v/>
      </c>
      <c r="N311" s="609" t="str">
        <f t="shared" si="66"/>
        <v/>
      </c>
      <c r="O311" s="609" t="str">
        <f t="shared" si="66"/>
        <v/>
      </c>
      <c r="P311" s="609" t="str">
        <f t="shared" si="66"/>
        <v/>
      </c>
      <c r="Q311" s="609" t="str">
        <f t="shared" si="66"/>
        <v/>
      </c>
      <c r="R311" s="609" t="str">
        <f t="shared" si="66"/>
        <v/>
      </c>
      <c r="S311" s="609" t="str">
        <f t="shared" si="66"/>
        <v/>
      </c>
      <c r="T311" s="609" t="str">
        <f t="shared" si="66"/>
        <v/>
      </c>
      <c r="U311" s="609" t="str">
        <f t="shared" si="66"/>
        <v/>
      </c>
      <c r="V311" s="609" t="str">
        <f t="shared" si="66"/>
        <v/>
      </c>
      <c r="W311" s="609" t="str">
        <f t="shared" si="66"/>
        <v/>
      </c>
      <c r="X311" s="609" t="str">
        <f t="shared" si="67"/>
        <v/>
      </c>
      <c r="Y311" s="609" t="str">
        <f t="shared" si="67"/>
        <v/>
      </c>
      <c r="Z311" s="609" t="str">
        <f t="shared" si="67"/>
        <v/>
      </c>
      <c r="AA311" s="609" t="str">
        <f t="shared" si="67"/>
        <v/>
      </c>
      <c r="AB311" s="609" t="str">
        <f t="shared" si="67"/>
        <v/>
      </c>
      <c r="AC311" s="609" t="str">
        <f t="shared" si="67"/>
        <v/>
      </c>
      <c r="AD311" s="609" t="str">
        <f t="shared" si="67"/>
        <v/>
      </c>
      <c r="AE311" s="609" t="str">
        <f t="shared" si="67"/>
        <v/>
      </c>
      <c r="AF311" s="609" t="str">
        <f t="shared" si="67"/>
        <v/>
      </c>
      <c r="AG311" s="609" t="str">
        <f t="shared" si="67"/>
        <v/>
      </c>
      <c r="AH311" s="609" t="str">
        <f t="shared" si="67"/>
        <v/>
      </c>
      <c r="AI311" s="609" t="str">
        <f t="shared" si="67"/>
        <v/>
      </c>
      <c r="AJ311" s="609" t="str">
        <f t="shared" si="67"/>
        <v/>
      </c>
      <c r="AK311" s="609" t="str">
        <f t="shared" si="67"/>
        <v/>
      </c>
      <c r="AL311" s="609" t="str">
        <f t="shared" si="67"/>
        <v/>
      </c>
      <c r="AM311" s="609" t="str">
        <f t="shared" si="67"/>
        <v/>
      </c>
      <c r="AN311" s="609" t="str">
        <f t="shared" si="68"/>
        <v/>
      </c>
      <c r="AO311" s="609" t="str">
        <f t="shared" si="68"/>
        <v/>
      </c>
      <c r="AP311" s="609" t="str">
        <f t="shared" si="68"/>
        <v/>
      </c>
      <c r="AQ311" s="609" t="str">
        <f t="shared" si="68"/>
        <v/>
      </c>
      <c r="AR311" s="609" t="str">
        <f t="shared" si="68"/>
        <v/>
      </c>
      <c r="AS311" s="609" t="str">
        <f t="shared" si="68"/>
        <v/>
      </c>
      <c r="AT311" s="609" t="str">
        <f t="shared" si="68"/>
        <v/>
      </c>
      <c r="AU311" s="609" t="str">
        <f t="shared" si="68"/>
        <v/>
      </c>
      <c r="AV311" s="609" t="str">
        <f t="shared" si="68"/>
        <v/>
      </c>
      <c r="AW311" s="609" t="str">
        <f t="shared" si="68"/>
        <v/>
      </c>
      <c r="AX311" s="609" t="str">
        <f t="shared" si="68"/>
        <v/>
      </c>
      <c r="AY311" s="609" t="str">
        <f t="shared" si="68"/>
        <v/>
      </c>
      <c r="AZ311" s="609" t="str">
        <f t="shared" si="68"/>
        <v/>
      </c>
      <c r="BA311" s="609" t="str">
        <f t="shared" si="68"/>
        <v/>
      </c>
      <c r="BB311" s="609" t="str">
        <f t="shared" si="68"/>
        <v/>
      </c>
      <c r="BC311" s="609" t="str">
        <f t="shared" si="68"/>
        <v/>
      </c>
      <c r="BD311" s="609" t="str">
        <f t="shared" si="69"/>
        <v/>
      </c>
      <c r="BE311" s="609" t="str">
        <f t="shared" si="69"/>
        <v/>
      </c>
      <c r="BF311" s="609" t="str">
        <f t="shared" si="69"/>
        <v/>
      </c>
      <c r="BG311" s="609" t="str">
        <f t="shared" si="69"/>
        <v/>
      </c>
    </row>
    <row r="312" spans="2:59" x14ac:dyDescent="0.25">
      <c r="B312" s="654">
        <v>306</v>
      </c>
      <c r="C312" s="654"/>
      <c r="D312" s="654"/>
      <c r="E312" s="655"/>
      <c r="F312" s="654"/>
      <c r="H312" s="609" t="str">
        <f t="shared" si="66"/>
        <v/>
      </c>
      <c r="I312" s="609" t="str">
        <f t="shared" si="66"/>
        <v/>
      </c>
      <c r="J312" s="609" t="str">
        <f t="shared" si="66"/>
        <v/>
      </c>
      <c r="K312" s="609" t="str">
        <f t="shared" si="66"/>
        <v/>
      </c>
      <c r="L312" s="609" t="str">
        <f t="shared" si="66"/>
        <v/>
      </c>
      <c r="M312" s="609" t="str">
        <f t="shared" si="66"/>
        <v/>
      </c>
      <c r="N312" s="609" t="str">
        <f t="shared" si="66"/>
        <v/>
      </c>
      <c r="O312" s="609" t="str">
        <f t="shared" si="66"/>
        <v/>
      </c>
      <c r="P312" s="609" t="str">
        <f t="shared" si="66"/>
        <v/>
      </c>
      <c r="Q312" s="609" t="str">
        <f t="shared" si="66"/>
        <v/>
      </c>
      <c r="R312" s="609" t="str">
        <f t="shared" si="66"/>
        <v/>
      </c>
      <c r="S312" s="609" t="str">
        <f t="shared" si="66"/>
        <v/>
      </c>
      <c r="T312" s="609" t="str">
        <f t="shared" si="66"/>
        <v/>
      </c>
      <c r="U312" s="609" t="str">
        <f t="shared" si="66"/>
        <v/>
      </c>
      <c r="V312" s="609" t="str">
        <f t="shared" si="66"/>
        <v/>
      </c>
      <c r="W312" s="609" t="str">
        <f t="shared" si="66"/>
        <v/>
      </c>
      <c r="X312" s="609" t="str">
        <f t="shared" si="67"/>
        <v/>
      </c>
      <c r="Y312" s="609" t="str">
        <f t="shared" si="67"/>
        <v/>
      </c>
      <c r="Z312" s="609" t="str">
        <f t="shared" si="67"/>
        <v/>
      </c>
      <c r="AA312" s="609" t="str">
        <f t="shared" si="67"/>
        <v/>
      </c>
      <c r="AB312" s="609" t="str">
        <f t="shared" si="67"/>
        <v/>
      </c>
      <c r="AC312" s="609" t="str">
        <f t="shared" si="67"/>
        <v/>
      </c>
      <c r="AD312" s="609" t="str">
        <f t="shared" si="67"/>
        <v/>
      </c>
      <c r="AE312" s="609" t="str">
        <f t="shared" si="67"/>
        <v/>
      </c>
      <c r="AF312" s="609" t="str">
        <f t="shared" si="67"/>
        <v/>
      </c>
      <c r="AG312" s="609" t="str">
        <f t="shared" si="67"/>
        <v/>
      </c>
      <c r="AH312" s="609" t="str">
        <f t="shared" si="67"/>
        <v/>
      </c>
      <c r="AI312" s="609" t="str">
        <f t="shared" si="67"/>
        <v/>
      </c>
      <c r="AJ312" s="609" t="str">
        <f t="shared" si="67"/>
        <v/>
      </c>
      <c r="AK312" s="609" t="str">
        <f t="shared" si="67"/>
        <v/>
      </c>
      <c r="AL312" s="609" t="str">
        <f t="shared" si="67"/>
        <v/>
      </c>
      <c r="AM312" s="609" t="str">
        <f t="shared" si="67"/>
        <v/>
      </c>
      <c r="AN312" s="609" t="str">
        <f t="shared" si="68"/>
        <v/>
      </c>
      <c r="AO312" s="609" t="str">
        <f t="shared" si="68"/>
        <v/>
      </c>
      <c r="AP312" s="609" t="str">
        <f t="shared" si="68"/>
        <v/>
      </c>
      <c r="AQ312" s="609" t="str">
        <f t="shared" si="68"/>
        <v/>
      </c>
      <c r="AR312" s="609" t="str">
        <f t="shared" si="68"/>
        <v/>
      </c>
      <c r="AS312" s="609" t="str">
        <f t="shared" si="68"/>
        <v/>
      </c>
      <c r="AT312" s="609" t="str">
        <f t="shared" si="68"/>
        <v/>
      </c>
      <c r="AU312" s="609" t="str">
        <f t="shared" si="68"/>
        <v/>
      </c>
      <c r="AV312" s="609" t="str">
        <f t="shared" si="68"/>
        <v/>
      </c>
      <c r="AW312" s="609" t="str">
        <f t="shared" si="68"/>
        <v/>
      </c>
      <c r="AX312" s="609" t="str">
        <f t="shared" si="68"/>
        <v/>
      </c>
      <c r="AY312" s="609" t="str">
        <f t="shared" si="68"/>
        <v/>
      </c>
      <c r="AZ312" s="609" t="str">
        <f t="shared" si="68"/>
        <v/>
      </c>
      <c r="BA312" s="609" t="str">
        <f t="shared" si="68"/>
        <v/>
      </c>
      <c r="BB312" s="609" t="str">
        <f t="shared" si="68"/>
        <v/>
      </c>
      <c r="BC312" s="609" t="str">
        <f t="shared" si="68"/>
        <v/>
      </c>
      <c r="BD312" s="609" t="str">
        <f t="shared" si="69"/>
        <v/>
      </c>
      <c r="BE312" s="609" t="str">
        <f t="shared" si="69"/>
        <v/>
      </c>
      <c r="BF312" s="609" t="str">
        <f t="shared" si="69"/>
        <v/>
      </c>
      <c r="BG312" s="609" t="str">
        <f t="shared" si="69"/>
        <v/>
      </c>
    </row>
    <row r="313" spans="2:59" x14ac:dyDescent="0.25">
      <c r="B313" s="654">
        <v>307</v>
      </c>
      <c r="C313" s="654"/>
      <c r="D313" s="654"/>
      <c r="E313" s="655"/>
      <c r="F313" s="654"/>
      <c r="H313" s="609" t="str">
        <f t="shared" si="66"/>
        <v/>
      </c>
      <c r="I313" s="609" t="str">
        <f t="shared" si="66"/>
        <v/>
      </c>
      <c r="J313" s="609" t="str">
        <f t="shared" si="66"/>
        <v/>
      </c>
      <c r="K313" s="609" t="str">
        <f t="shared" si="66"/>
        <v/>
      </c>
      <c r="L313" s="609" t="str">
        <f t="shared" si="66"/>
        <v/>
      </c>
      <c r="M313" s="609" t="str">
        <f t="shared" si="66"/>
        <v/>
      </c>
      <c r="N313" s="609" t="str">
        <f t="shared" si="66"/>
        <v/>
      </c>
      <c r="O313" s="609" t="str">
        <f t="shared" si="66"/>
        <v/>
      </c>
      <c r="P313" s="609" t="str">
        <f t="shared" si="66"/>
        <v/>
      </c>
      <c r="Q313" s="609" t="str">
        <f t="shared" si="66"/>
        <v/>
      </c>
      <c r="R313" s="609" t="str">
        <f t="shared" si="66"/>
        <v/>
      </c>
      <c r="S313" s="609" t="str">
        <f t="shared" si="66"/>
        <v/>
      </c>
      <c r="T313" s="609" t="str">
        <f t="shared" si="66"/>
        <v/>
      </c>
      <c r="U313" s="609" t="str">
        <f t="shared" si="66"/>
        <v/>
      </c>
      <c r="V313" s="609" t="str">
        <f t="shared" si="66"/>
        <v/>
      </c>
      <c r="W313" s="609" t="str">
        <f t="shared" si="66"/>
        <v/>
      </c>
      <c r="X313" s="609" t="str">
        <f t="shared" si="67"/>
        <v/>
      </c>
      <c r="Y313" s="609" t="str">
        <f t="shared" si="67"/>
        <v/>
      </c>
      <c r="Z313" s="609" t="str">
        <f t="shared" si="67"/>
        <v/>
      </c>
      <c r="AA313" s="609" t="str">
        <f t="shared" si="67"/>
        <v/>
      </c>
      <c r="AB313" s="609" t="str">
        <f t="shared" si="67"/>
        <v/>
      </c>
      <c r="AC313" s="609" t="str">
        <f t="shared" si="67"/>
        <v/>
      </c>
      <c r="AD313" s="609" t="str">
        <f t="shared" si="67"/>
        <v/>
      </c>
      <c r="AE313" s="609" t="str">
        <f t="shared" si="67"/>
        <v/>
      </c>
      <c r="AF313" s="609" t="str">
        <f t="shared" si="67"/>
        <v/>
      </c>
      <c r="AG313" s="609" t="str">
        <f t="shared" si="67"/>
        <v/>
      </c>
      <c r="AH313" s="609" t="str">
        <f t="shared" si="67"/>
        <v/>
      </c>
      <c r="AI313" s="609" t="str">
        <f t="shared" si="67"/>
        <v/>
      </c>
      <c r="AJ313" s="609" t="str">
        <f t="shared" si="67"/>
        <v/>
      </c>
      <c r="AK313" s="609" t="str">
        <f t="shared" si="67"/>
        <v/>
      </c>
      <c r="AL313" s="609" t="str">
        <f t="shared" si="67"/>
        <v/>
      </c>
      <c r="AM313" s="609" t="str">
        <f t="shared" si="67"/>
        <v/>
      </c>
      <c r="AN313" s="609" t="str">
        <f t="shared" si="68"/>
        <v/>
      </c>
      <c r="AO313" s="609" t="str">
        <f t="shared" si="68"/>
        <v/>
      </c>
      <c r="AP313" s="609" t="str">
        <f t="shared" si="68"/>
        <v/>
      </c>
      <c r="AQ313" s="609" t="str">
        <f t="shared" si="68"/>
        <v/>
      </c>
      <c r="AR313" s="609" t="str">
        <f t="shared" si="68"/>
        <v/>
      </c>
      <c r="AS313" s="609" t="str">
        <f t="shared" si="68"/>
        <v/>
      </c>
      <c r="AT313" s="609" t="str">
        <f t="shared" si="68"/>
        <v/>
      </c>
      <c r="AU313" s="609" t="str">
        <f t="shared" si="68"/>
        <v/>
      </c>
      <c r="AV313" s="609" t="str">
        <f t="shared" si="68"/>
        <v/>
      </c>
      <c r="AW313" s="609" t="str">
        <f t="shared" si="68"/>
        <v/>
      </c>
      <c r="AX313" s="609" t="str">
        <f t="shared" si="68"/>
        <v/>
      </c>
      <c r="AY313" s="609" t="str">
        <f t="shared" si="68"/>
        <v/>
      </c>
      <c r="AZ313" s="609" t="str">
        <f t="shared" si="68"/>
        <v/>
      </c>
      <c r="BA313" s="609" t="str">
        <f t="shared" si="68"/>
        <v/>
      </c>
      <c r="BB313" s="609" t="str">
        <f t="shared" si="68"/>
        <v/>
      </c>
      <c r="BC313" s="609" t="str">
        <f t="shared" si="68"/>
        <v/>
      </c>
      <c r="BD313" s="609" t="str">
        <f t="shared" si="69"/>
        <v/>
      </c>
      <c r="BE313" s="609" t="str">
        <f t="shared" si="69"/>
        <v/>
      </c>
      <c r="BF313" s="609" t="str">
        <f t="shared" si="69"/>
        <v/>
      </c>
      <c r="BG313" s="609" t="str">
        <f t="shared" si="69"/>
        <v/>
      </c>
    </row>
    <row r="314" spans="2:59" x14ac:dyDescent="0.25">
      <c r="B314" s="654">
        <v>308</v>
      </c>
      <c r="C314" s="654"/>
      <c r="D314" s="654"/>
      <c r="E314" s="655"/>
      <c r="F314" s="654"/>
      <c r="H314" s="609" t="str">
        <f t="shared" si="66"/>
        <v/>
      </c>
      <c r="I314" s="609" t="str">
        <f t="shared" si="66"/>
        <v/>
      </c>
      <c r="J314" s="609" t="str">
        <f t="shared" si="66"/>
        <v/>
      </c>
      <c r="K314" s="609" t="str">
        <f t="shared" si="66"/>
        <v/>
      </c>
      <c r="L314" s="609" t="str">
        <f t="shared" si="66"/>
        <v/>
      </c>
      <c r="M314" s="609" t="str">
        <f t="shared" si="66"/>
        <v/>
      </c>
      <c r="N314" s="609" t="str">
        <f t="shared" si="66"/>
        <v/>
      </c>
      <c r="O314" s="609" t="str">
        <f t="shared" si="66"/>
        <v/>
      </c>
      <c r="P314" s="609" t="str">
        <f t="shared" si="66"/>
        <v/>
      </c>
      <c r="Q314" s="609" t="str">
        <f t="shared" si="66"/>
        <v/>
      </c>
      <c r="R314" s="609" t="str">
        <f t="shared" si="66"/>
        <v/>
      </c>
      <c r="S314" s="609" t="str">
        <f t="shared" si="66"/>
        <v/>
      </c>
      <c r="T314" s="609" t="str">
        <f t="shared" si="66"/>
        <v/>
      </c>
      <c r="U314" s="609" t="str">
        <f t="shared" si="66"/>
        <v/>
      </c>
      <c r="V314" s="609" t="str">
        <f t="shared" si="66"/>
        <v/>
      </c>
      <c r="W314" s="609" t="str">
        <f t="shared" si="66"/>
        <v/>
      </c>
      <c r="X314" s="609" t="str">
        <f t="shared" si="67"/>
        <v/>
      </c>
      <c r="Y314" s="609" t="str">
        <f t="shared" si="67"/>
        <v/>
      </c>
      <c r="Z314" s="609" t="str">
        <f t="shared" si="67"/>
        <v/>
      </c>
      <c r="AA314" s="609" t="str">
        <f t="shared" si="67"/>
        <v/>
      </c>
      <c r="AB314" s="609" t="str">
        <f t="shared" si="67"/>
        <v/>
      </c>
      <c r="AC314" s="609" t="str">
        <f t="shared" si="67"/>
        <v/>
      </c>
      <c r="AD314" s="609" t="str">
        <f t="shared" si="67"/>
        <v/>
      </c>
      <c r="AE314" s="609" t="str">
        <f t="shared" si="67"/>
        <v/>
      </c>
      <c r="AF314" s="609" t="str">
        <f t="shared" si="67"/>
        <v/>
      </c>
      <c r="AG314" s="609" t="str">
        <f t="shared" si="67"/>
        <v/>
      </c>
      <c r="AH314" s="609" t="str">
        <f t="shared" si="67"/>
        <v/>
      </c>
      <c r="AI314" s="609" t="str">
        <f t="shared" si="67"/>
        <v/>
      </c>
      <c r="AJ314" s="609" t="str">
        <f t="shared" si="67"/>
        <v/>
      </c>
      <c r="AK314" s="609" t="str">
        <f t="shared" si="67"/>
        <v/>
      </c>
      <c r="AL314" s="609" t="str">
        <f t="shared" si="67"/>
        <v/>
      </c>
      <c r="AM314" s="609" t="str">
        <f t="shared" si="67"/>
        <v/>
      </c>
      <c r="AN314" s="609" t="str">
        <f t="shared" si="68"/>
        <v/>
      </c>
      <c r="AO314" s="609" t="str">
        <f t="shared" si="68"/>
        <v/>
      </c>
      <c r="AP314" s="609" t="str">
        <f t="shared" si="68"/>
        <v/>
      </c>
      <c r="AQ314" s="609" t="str">
        <f t="shared" si="68"/>
        <v/>
      </c>
      <c r="AR314" s="609" t="str">
        <f t="shared" si="68"/>
        <v/>
      </c>
      <c r="AS314" s="609" t="str">
        <f t="shared" si="68"/>
        <v/>
      </c>
      <c r="AT314" s="609" t="str">
        <f t="shared" si="68"/>
        <v/>
      </c>
      <c r="AU314" s="609" t="str">
        <f t="shared" si="68"/>
        <v/>
      </c>
      <c r="AV314" s="609" t="str">
        <f t="shared" si="68"/>
        <v/>
      </c>
      <c r="AW314" s="609" t="str">
        <f t="shared" si="68"/>
        <v/>
      </c>
      <c r="AX314" s="609" t="str">
        <f t="shared" si="68"/>
        <v/>
      </c>
      <c r="AY314" s="609" t="str">
        <f t="shared" si="68"/>
        <v/>
      </c>
      <c r="AZ314" s="609" t="str">
        <f t="shared" si="68"/>
        <v/>
      </c>
      <c r="BA314" s="609" t="str">
        <f t="shared" si="68"/>
        <v/>
      </c>
      <c r="BB314" s="609" t="str">
        <f t="shared" si="68"/>
        <v/>
      </c>
      <c r="BC314" s="609" t="str">
        <f t="shared" si="68"/>
        <v/>
      </c>
      <c r="BD314" s="609" t="str">
        <f t="shared" si="69"/>
        <v/>
      </c>
      <c r="BE314" s="609" t="str">
        <f t="shared" si="69"/>
        <v/>
      </c>
      <c r="BF314" s="609" t="str">
        <f t="shared" si="69"/>
        <v/>
      </c>
      <c r="BG314" s="609" t="str">
        <f t="shared" si="69"/>
        <v/>
      </c>
    </row>
    <row r="315" spans="2:59" x14ac:dyDescent="0.25">
      <c r="B315" s="654">
        <v>309</v>
      </c>
      <c r="C315" s="654"/>
      <c r="D315" s="654"/>
      <c r="E315" s="655"/>
      <c r="F315" s="654"/>
      <c r="H315" s="609" t="str">
        <f t="shared" si="66"/>
        <v/>
      </c>
      <c r="I315" s="609" t="str">
        <f t="shared" si="66"/>
        <v/>
      </c>
      <c r="J315" s="609" t="str">
        <f t="shared" si="66"/>
        <v/>
      </c>
      <c r="K315" s="609" t="str">
        <f t="shared" si="66"/>
        <v/>
      </c>
      <c r="L315" s="609" t="str">
        <f t="shared" si="66"/>
        <v/>
      </c>
      <c r="M315" s="609" t="str">
        <f t="shared" si="66"/>
        <v/>
      </c>
      <c r="N315" s="609" t="str">
        <f t="shared" si="66"/>
        <v/>
      </c>
      <c r="O315" s="609" t="str">
        <f t="shared" si="66"/>
        <v/>
      </c>
      <c r="P315" s="609" t="str">
        <f t="shared" si="66"/>
        <v/>
      </c>
      <c r="Q315" s="609" t="str">
        <f t="shared" si="66"/>
        <v/>
      </c>
      <c r="R315" s="609" t="str">
        <f t="shared" si="66"/>
        <v/>
      </c>
      <c r="S315" s="609" t="str">
        <f t="shared" si="66"/>
        <v/>
      </c>
      <c r="T315" s="609" t="str">
        <f t="shared" si="66"/>
        <v/>
      </c>
      <c r="U315" s="609" t="str">
        <f t="shared" si="66"/>
        <v/>
      </c>
      <c r="V315" s="609" t="str">
        <f t="shared" si="66"/>
        <v/>
      </c>
      <c r="W315" s="609" t="str">
        <f t="shared" si="66"/>
        <v/>
      </c>
      <c r="X315" s="609" t="str">
        <f t="shared" si="67"/>
        <v/>
      </c>
      <c r="Y315" s="609" t="str">
        <f t="shared" si="67"/>
        <v/>
      </c>
      <c r="Z315" s="609" t="str">
        <f t="shared" si="67"/>
        <v/>
      </c>
      <c r="AA315" s="609" t="str">
        <f t="shared" si="67"/>
        <v/>
      </c>
      <c r="AB315" s="609" t="str">
        <f t="shared" si="67"/>
        <v/>
      </c>
      <c r="AC315" s="609" t="str">
        <f t="shared" si="67"/>
        <v/>
      </c>
      <c r="AD315" s="609" t="str">
        <f t="shared" si="67"/>
        <v/>
      </c>
      <c r="AE315" s="609" t="str">
        <f t="shared" si="67"/>
        <v/>
      </c>
      <c r="AF315" s="609" t="str">
        <f t="shared" si="67"/>
        <v/>
      </c>
      <c r="AG315" s="609" t="str">
        <f t="shared" si="67"/>
        <v/>
      </c>
      <c r="AH315" s="609" t="str">
        <f t="shared" si="67"/>
        <v/>
      </c>
      <c r="AI315" s="609" t="str">
        <f t="shared" si="67"/>
        <v/>
      </c>
      <c r="AJ315" s="609" t="str">
        <f t="shared" si="67"/>
        <v/>
      </c>
      <c r="AK315" s="609" t="str">
        <f t="shared" si="67"/>
        <v/>
      </c>
      <c r="AL315" s="609" t="str">
        <f t="shared" si="67"/>
        <v/>
      </c>
      <c r="AM315" s="609" t="str">
        <f t="shared" si="67"/>
        <v/>
      </c>
      <c r="AN315" s="609" t="str">
        <f t="shared" si="68"/>
        <v/>
      </c>
      <c r="AO315" s="609" t="str">
        <f t="shared" si="68"/>
        <v/>
      </c>
      <c r="AP315" s="609" t="str">
        <f t="shared" si="68"/>
        <v/>
      </c>
      <c r="AQ315" s="609" t="str">
        <f t="shared" si="68"/>
        <v/>
      </c>
      <c r="AR315" s="609" t="str">
        <f t="shared" si="68"/>
        <v/>
      </c>
      <c r="AS315" s="609" t="str">
        <f t="shared" si="68"/>
        <v/>
      </c>
      <c r="AT315" s="609" t="str">
        <f t="shared" si="68"/>
        <v/>
      </c>
      <c r="AU315" s="609" t="str">
        <f t="shared" si="68"/>
        <v/>
      </c>
      <c r="AV315" s="609" t="str">
        <f t="shared" si="68"/>
        <v/>
      </c>
      <c r="AW315" s="609" t="str">
        <f t="shared" si="68"/>
        <v/>
      </c>
      <c r="AX315" s="609" t="str">
        <f t="shared" si="68"/>
        <v/>
      </c>
      <c r="AY315" s="609" t="str">
        <f t="shared" si="68"/>
        <v/>
      </c>
      <c r="AZ315" s="609" t="str">
        <f t="shared" si="68"/>
        <v/>
      </c>
      <c r="BA315" s="609" t="str">
        <f t="shared" si="68"/>
        <v/>
      </c>
      <c r="BB315" s="609" t="str">
        <f t="shared" si="68"/>
        <v/>
      </c>
      <c r="BC315" s="609" t="str">
        <f t="shared" si="68"/>
        <v/>
      </c>
      <c r="BD315" s="609" t="str">
        <f t="shared" si="69"/>
        <v/>
      </c>
      <c r="BE315" s="609" t="str">
        <f t="shared" si="69"/>
        <v/>
      </c>
      <c r="BF315" s="609" t="str">
        <f t="shared" si="69"/>
        <v/>
      </c>
      <c r="BG315" s="609" t="str">
        <f t="shared" si="69"/>
        <v/>
      </c>
    </row>
    <row r="316" spans="2:59" x14ac:dyDescent="0.25">
      <c r="B316" s="654">
        <v>310</v>
      </c>
      <c r="C316" s="654"/>
      <c r="D316" s="654"/>
      <c r="E316" s="655"/>
      <c r="F316" s="654"/>
      <c r="H316" s="609" t="str">
        <f t="shared" si="66"/>
        <v/>
      </c>
      <c r="I316" s="609" t="str">
        <f t="shared" si="66"/>
        <v/>
      </c>
      <c r="J316" s="609" t="str">
        <f t="shared" si="66"/>
        <v/>
      </c>
      <c r="K316" s="609" t="str">
        <f t="shared" si="66"/>
        <v/>
      </c>
      <c r="L316" s="609" t="str">
        <f t="shared" si="66"/>
        <v/>
      </c>
      <c r="M316" s="609" t="str">
        <f t="shared" si="66"/>
        <v/>
      </c>
      <c r="N316" s="609" t="str">
        <f t="shared" si="66"/>
        <v/>
      </c>
      <c r="O316" s="609" t="str">
        <f t="shared" si="66"/>
        <v/>
      </c>
      <c r="P316" s="609" t="str">
        <f t="shared" si="66"/>
        <v/>
      </c>
      <c r="Q316" s="609" t="str">
        <f t="shared" si="66"/>
        <v/>
      </c>
      <c r="R316" s="609" t="str">
        <f t="shared" si="66"/>
        <v/>
      </c>
      <c r="S316" s="609" t="str">
        <f t="shared" si="66"/>
        <v/>
      </c>
      <c r="T316" s="609" t="str">
        <f t="shared" si="66"/>
        <v/>
      </c>
      <c r="U316" s="609" t="str">
        <f t="shared" si="66"/>
        <v/>
      </c>
      <c r="V316" s="609" t="str">
        <f t="shared" si="66"/>
        <v/>
      </c>
      <c r="W316" s="609" t="str">
        <f t="shared" si="66"/>
        <v/>
      </c>
      <c r="X316" s="609" t="str">
        <f t="shared" si="67"/>
        <v/>
      </c>
      <c r="Y316" s="609" t="str">
        <f t="shared" si="67"/>
        <v/>
      </c>
      <c r="Z316" s="609" t="str">
        <f t="shared" si="67"/>
        <v/>
      </c>
      <c r="AA316" s="609" t="str">
        <f t="shared" si="67"/>
        <v/>
      </c>
      <c r="AB316" s="609" t="str">
        <f t="shared" si="67"/>
        <v/>
      </c>
      <c r="AC316" s="609" t="str">
        <f t="shared" si="67"/>
        <v/>
      </c>
      <c r="AD316" s="609" t="str">
        <f t="shared" si="67"/>
        <v/>
      </c>
      <c r="AE316" s="609" t="str">
        <f t="shared" si="67"/>
        <v/>
      </c>
      <c r="AF316" s="609" t="str">
        <f t="shared" si="67"/>
        <v/>
      </c>
      <c r="AG316" s="609" t="str">
        <f t="shared" si="67"/>
        <v/>
      </c>
      <c r="AH316" s="609" t="str">
        <f t="shared" si="67"/>
        <v/>
      </c>
      <c r="AI316" s="609" t="str">
        <f t="shared" si="67"/>
        <v/>
      </c>
      <c r="AJ316" s="609" t="str">
        <f t="shared" si="67"/>
        <v/>
      </c>
      <c r="AK316" s="609" t="str">
        <f t="shared" si="67"/>
        <v/>
      </c>
      <c r="AL316" s="609" t="str">
        <f t="shared" si="67"/>
        <v/>
      </c>
      <c r="AM316" s="609" t="str">
        <f t="shared" si="67"/>
        <v/>
      </c>
      <c r="AN316" s="609" t="str">
        <f t="shared" si="68"/>
        <v/>
      </c>
      <c r="AO316" s="609" t="str">
        <f t="shared" si="68"/>
        <v/>
      </c>
      <c r="AP316" s="609" t="str">
        <f t="shared" si="68"/>
        <v/>
      </c>
      <c r="AQ316" s="609" t="str">
        <f t="shared" si="68"/>
        <v/>
      </c>
      <c r="AR316" s="609" t="str">
        <f t="shared" si="68"/>
        <v/>
      </c>
      <c r="AS316" s="609" t="str">
        <f t="shared" si="68"/>
        <v/>
      </c>
      <c r="AT316" s="609" t="str">
        <f t="shared" si="68"/>
        <v/>
      </c>
      <c r="AU316" s="609" t="str">
        <f t="shared" si="68"/>
        <v/>
      </c>
      <c r="AV316" s="609" t="str">
        <f t="shared" si="68"/>
        <v/>
      </c>
      <c r="AW316" s="609" t="str">
        <f t="shared" si="68"/>
        <v/>
      </c>
      <c r="AX316" s="609" t="str">
        <f t="shared" si="68"/>
        <v/>
      </c>
      <c r="AY316" s="609" t="str">
        <f t="shared" si="68"/>
        <v/>
      </c>
      <c r="AZ316" s="609" t="str">
        <f t="shared" si="68"/>
        <v/>
      </c>
      <c r="BA316" s="609" t="str">
        <f t="shared" si="68"/>
        <v/>
      </c>
      <c r="BB316" s="609" t="str">
        <f t="shared" si="68"/>
        <v/>
      </c>
      <c r="BC316" s="609" t="str">
        <f t="shared" si="68"/>
        <v/>
      </c>
      <c r="BD316" s="609" t="str">
        <f t="shared" si="69"/>
        <v/>
      </c>
      <c r="BE316" s="609" t="str">
        <f t="shared" si="69"/>
        <v/>
      </c>
      <c r="BF316" s="609" t="str">
        <f t="shared" si="69"/>
        <v/>
      </c>
      <c r="BG316" s="609" t="str">
        <f t="shared" si="69"/>
        <v/>
      </c>
    </row>
    <row r="317" spans="2:59" x14ac:dyDescent="0.25">
      <c r="B317" s="654">
        <v>311</v>
      </c>
      <c r="C317" s="654"/>
      <c r="D317" s="654"/>
      <c r="E317" s="655"/>
      <c r="F317" s="654"/>
      <c r="H317" s="609" t="str">
        <f t="shared" si="66"/>
        <v/>
      </c>
      <c r="I317" s="609" t="str">
        <f t="shared" si="66"/>
        <v/>
      </c>
      <c r="J317" s="609" t="str">
        <f t="shared" si="66"/>
        <v/>
      </c>
      <c r="K317" s="609" t="str">
        <f t="shared" si="66"/>
        <v/>
      </c>
      <c r="L317" s="609" t="str">
        <f t="shared" si="66"/>
        <v/>
      </c>
      <c r="M317" s="609" t="str">
        <f t="shared" si="66"/>
        <v/>
      </c>
      <c r="N317" s="609" t="str">
        <f t="shared" si="66"/>
        <v/>
      </c>
      <c r="O317" s="609" t="str">
        <f t="shared" si="66"/>
        <v/>
      </c>
      <c r="P317" s="609" t="str">
        <f t="shared" si="66"/>
        <v/>
      </c>
      <c r="Q317" s="609" t="str">
        <f t="shared" si="66"/>
        <v/>
      </c>
      <c r="R317" s="609" t="str">
        <f t="shared" si="66"/>
        <v/>
      </c>
      <c r="S317" s="609" t="str">
        <f t="shared" si="66"/>
        <v/>
      </c>
      <c r="T317" s="609" t="str">
        <f t="shared" si="66"/>
        <v/>
      </c>
      <c r="U317" s="609" t="str">
        <f t="shared" si="66"/>
        <v/>
      </c>
      <c r="V317" s="609" t="str">
        <f t="shared" si="66"/>
        <v/>
      </c>
      <c r="W317" s="609" t="str">
        <f t="shared" si="66"/>
        <v/>
      </c>
      <c r="X317" s="609" t="str">
        <f t="shared" si="67"/>
        <v/>
      </c>
      <c r="Y317" s="609" t="str">
        <f t="shared" si="67"/>
        <v/>
      </c>
      <c r="Z317" s="609" t="str">
        <f t="shared" si="67"/>
        <v/>
      </c>
      <c r="AA317" s="609" t="str">
        <f t="shared" si="67"/>
        <v/>
      </c>
      <c r="AB317" s="609" t="str">
        <f t="shared" si="67"/>
        <v/>
      </c>
      <c r="AC317" s="609" t="str">
        <f t="shared" si="67"/>
        <v/>
      </c>
      <c r="AD317" s="609" t="str">
        <f t="shared" si="67"/>
        <v/>
      </c>
      <c r="AE317" s="609" t="str">
        <f t="shared" si="67"/>
        <v/>
      </c>
      <c r="AF317" s="609" t="str">
        <f t="shared" si="67"/>
        <v/>
      </c>
      <c r="AG317" s="609" t="str">
        <f t="shared" si="67"/>
        <v/>
      </c>
      <c r="AH317" s="609" t="str">
        <f t="shared" si="67"/>
        <v/>
      </c>
      <c r="AI317" s="609" t="str">
        <f t="shared" si="67"/>
        <v/>
      </c>
      <c r="AJ317" s="609" t="str">
        <f t="shared" si="67"/>
        <v/>
      </c>
      <c r="AK317" s="609" t="str">
        <f t="shared" si="67"/>
        <v/>
      </c>
      <c r="AL317" s="609" t="str">
        <f t="shared" si="67"/>
        <v/>
      </c>
      <c r="AM317" s="609" t="str">
        <f t="shared" si="67"/>
        <v/>
      </c>
      <c r="AN317" s="609" t="str">
        <f t="shared" si="68"/>
        <v/>
      </c>
      <c r="AO317" s="609" t="str">
        <f t="shared" si="68"/>
        <v/>
      </c>
      <c r="AP317" s="609" t="str">
        <f t="shared" si="68"/>
        <v/>
      </c>
      <c r="AQ317" s="609" t="str">
        <f t="shared" si="68"/>
        <v/>
      </c>
      <c r="AR317" s="609" t="str">
        <f t="shared" si="68"/>
        <v/>
      </c>
      <c r="AS317" s="609" t="str">
        <f t="shared" si="68"/>
        <v/>
      </c>
      <c r="AT317" s="609" t="str">
        <f t="shared" si="68"/>
        <v/>
      </c>
      <c r="AU317" s="609" t="str">
        <f t="shared" si="68"/>
        <v/>
      </c>
      <c r="AV317" s="609" t="str">
        <f t="shared" si="68"/>
        <v/>
      </c>
      <c r="AW317" s="609" t="str">
        <f t="shared" si="68"/>
        <v/>
      </c>
      <c r="AX317" s="609" t="str">
        <f t="shared" si="68"/>
        <v/>
      </c>
      <c r="AY317" s="609" t="str">
        <f t="shared" si="68"/>
        <v/>
      </c>
      <c r="AZ317" s="609" t="str">
        <f t="shared" si="68"/>
        <v/>
      </c>
      <c r="BA317" s="609" t="str">
        <f t="shared" si="68"/>
        <v/>
      </c>
      <c r="BB317" s="609" t="str">
        <f t="shared" si="68"/>
        <v/>
      </c>
      <c r="BC317" s="609" t="str">
        <f t="shared" si="68"/>
        <v/>
      </c>
      <c r="BD317" s="609" t="str">
        <f t="shared" si="69"/>
        <v/>
      </c>
      <c r="BE317" s="609" t="str">
        <f t="shared" si="69"/>
        <v/>
      </c>
      <c r="BF317" s="609" t="str">
        <f t="shared" si="69"/>
        <v/>
      </c>
      <c r="BG317" s="609" t="str">
        <f t="shared" si="69"/>
        <v/>
      </c>
    </row>
    <row r="318" spans="2:59" x14ac:dyDescent="0.25">
      <c r="B318" s="654">
        <v>312</v>
      </c>
      <c r="C318" s="654"/>
      <c r="D318" s="654"/>
      <c r="E318" s="655"/>
      <c r="F318" s="654"/>
      <c r="H318" s="609" t="str">
        <f t="shared" si="66"/>
        <v/>
      </c>
      <c r="I318" s="609" t="str">
        <f t="shared" si="66"/>
        <v/>
      </c>
      <c r="J318" s="609" t="str">
        <f t="shared" si="66"/>
        <v/>
      </c>
      <c r="K318" s="609" t="str">
        <f t="shared" si="66"/>
        <v/>
      </c>
      <c r="L318" s="609" t="str">
        <f t="shared" si="66"/>
        <v/>
      </c>
      <c r="M318" s="609" t="str">
        <f t="shared" si="66"/>
        <v/>
      </c>
      <c r="N318" s="609" t="str">
        <f t="shared" si="66"/>
        <v/>
      </c>
      <c r="O318" s="609" t="str">
        <f t="shared" si="66"/>
        <v/>
      </c>
      <c r="P318" s="609" t="str">
        <f t="shared" si="66"/>
        <v/>
      </c>
      <c r="Q318" s="609" t="str">
        <f t="shared" si="66"/>
        <v/>
      </c>
      <c r="R318" s="609" t="str">
        <f t="shared" si="66"/>
        <v/>
      </c>
      <c r="S318" s="609" t="str">
        <f t="shared" si="66"/>
        <v/>
      </c>
      <c r="T318" s="609" t="str">
        <f t="shared" si="66"/>
        <v/>
      </c>
      <c r="U318" s="609" t="str">
        <f t="shared" si="66"/>
        <v/>
      </c>
      <c r="V318" s="609" t="str">
        <f t="shared" si="66"/>
        <v/>
      </c>
      <c r="W318" s="609" t="str">
        <f t="shared" si="66"/>
        <v/>
      </c>
      <c r="X318" s="609" t="str">
        <f t="shared" si="67"/>
        <v/>
      </c>
      <c r="Y318" s="609" t="str">
        <f t="shared" si="67"/>
        <v/>
      </c>
      <c r="Z318" s="609" t="str">
        <f t="shared" si="67"/>
        <v/>
      </c>
      <c r="AA318" s="609" t="str">
        <f t="shared" si="67"/>
        <v/>
      </c>
      <c r="AB318" s="609" t="str">
        <f t="shared" si="67"/>
        <v/>
      </c>
      <c r="AC318" s="609" t="str">
        <f t="shared" si="67"/>
        <v/>
      </c>
      <c r="AD318" s="609" t="str">
        <f t="shared" si="67"/>
        <v/>
      </c>
      <c r="AE318" s="609" t="str">
        <f t="shared" si="67"/>
        <v/>
      </c>
      <c r="AF318" s="609" t="str">
        <f t="shared" si="67"/>
        <v/>
      </c>
      <c r="AG318" s="609" t="str">
        <f t="shared" si="67"/>
        <v/>
      </c>
      <c r="AH318" s="609" t="str">
        <f t="shared" si="67"/>
        <v/>
      </c>
      <c r="AI318" s="609" t="str">
        <f t="shared" si="67"/>
        <v/>
      </c>
      <c r="AJ318" s="609" t="str">
        <f t="shared" si="67"/>
        <v/>
      </c>
      <c r="AK318" s="609" t="str">
        <f t="shared" si="67"/>
        <v/>
      </c>
      <c r="AL318" s="609" t="str">
        <f t="shared" si="67"/>
        <v/>
      </c>
      <c r="AM318" s="609" t="str">
        <f t="shared" si="67"/>
        <v/>
      </c>
      <c r="AN318" s="609" t="str">
        <f t="shared" si="68"/>
        <v/>
      </c>
      <c r="AO318" s="609" t="str">
        <f t="shared" si="68"/>
        <v/>
      </c>
      <c r="AP318" s="609" t="str">
        <f t="shared" si="68"/>
        <v/>
      </c>
      <c r="AQ318" s="609" t="str">
        <f t="shared" si="68"/>
        <v/>
      </c>
      <c r="AR318" s="609" t="str">
        <f t="shared" si="68"/>
        <v/>
      </c>
      <c r="AS318" s="609" t="str">
        <f t="shared" si="68"/>
        <v/>
      </c>
      <c r="AT318" s="609" t="str">
        <f t="shared" si="68"/>
        <v/>
      </c>
      <c r="AU318" s="609" t="str">
        <f t="shared" si="68"/>
        <v/>
      </c>
      <c r="AV318" s="609" t="str">
        <f t="shared" si="68"/>
        <v/>
      </c>
      <c r="AW318" s="609" t="str">
        <f t="shared" si="68"/>
        <v/>
      </c>
      <c r="AX318" s="609" t="str">
        <f t="shared" si="68"/>
        <v/>
      </c>
      <c r="AY318" s="609" t="str">
        <f t="shared" si="68"/>
        <v/>
      </c>
      <c r="AZ318" s="609" t="str">
        <f t="shared" si="68"/>
        <v/>
      </c>
      <c r="BA318" s="609" t="str">
        <f t="shared" si="68"/>
        <v/>
      </c>
      <c r="BB318" s="609" t="str">
        <f t="shared" si="68"/>
        <v/>
      </c>
      <c r="BC318" s="609" t="str">
        <f t="shared" si="68"/>
        <v/>
      </c>
      <c r="BD318" s="609" t="str">
        <f t="shared" si="69"/>
        <v/>
      </c>
      <c r="BE318" s="609" t="str">
        <f t="shared" si="69"/>
        <v/>
      </c>
      <c r="BF318" s="609" t="str">
        <f t="shared" si="69"/>
        <v/>
      </c>
      <c r="BG318" s="609" t="str">
        <f t="shared" si="69"/>
        <v/>
      </c>
    </row>
    <row r="319" spans="2:59" x14ac:dyDescent="0.25">
      <c r="B319" s="654">
        <v>313</v>
      </c>
      <c r="C319" s="654"/>
      <c r="D319" s="654"/>
      <c r="E319" s="655"/>
      <c r="F319" s="654"/>
      <c r="H319" s="609" t="str">
        <f t="shared" si="66"/>
        <v/>
      </c>
      <c r="I319" s="609" t="str">
        <f t="shared" si="66"/>
        <v/>
      </c>
      <c r="J319" s="609" t="str">
        <f t="shared" si="66"/>
        <v/>
      </c>
      <c r="K319" s="609" t="str">
        <f t="shared" si="66"/>
        <v/>
      </c>
      <c r="L319" s="609" t="str">
        <f t="shared" si="66"/>
        <v/>
      </c>
      <c r="M319" s="609" t="str">
        <f t="shared" si="66"/>
        <v/>
      </c>
      <c r="N319" s="609" t="str">
        <f t="shared" si="66"/>
        <v/>
      </c>
      <c r="O319" s="609" t="str">
        <f t="shared" si="66"/>
        <v/>
      </c>
      <c r="P319" s="609" t="str">
        <f t="shared" si="66"/>
        <v/>
      </c>
      <c r="Q319" s="609" t="str">
        <f t="shared" si="66"/>
        <v/>
      </c>
      <c r="R319" s="609" t="str">
        <f t="shared" si="66"/>
        <v/>
      </c>
      <c r="S319" s="609" t="str">
        <f t="shared" si="66"/>
        <v/>
      </c>
      <c r="T319" s="609" t="str">
        <f t="shared" si="66"/>
        <v/>
      </c>
      <c r="U319" s="609" t="str">
        <f t="shared" si="66"/>
        <v/>
      </c>
      <c r="V319" s="609" t="str">
        <f t="shared" si="66"/>
        <v/>
      </c>
      <c r="W319" s="609" t="str">
        <f t="shared" si="66"/>
        <v/>
      </c>
      <c r="X319" s="609" t="str">
        <f t="shared" si="67"/>
        <v/>
      </c>
      <c r="Y319" s="609" t="str">
        <f t="shared" si="67"/>
        <v/>
      </c>
      <c r="Z319" s="609" t="str">
        <f t="shared" si="67"/>
        <v/>
      </c>
      <c r="AA319" s="609" t="str">
        <f t="shared" si="67"/>
        <v/>
      </c>
      <c r="AB319" s="609" t="str">
        <f t="shared" si="67"/>
        <v/>
      </c>
      <c r="AC319" s="609" t="str">
        <f t="shared" si="67"/>
        <v/>
      </c>
      <c r="AD319" s="609" t="str">
        <f t="shared" si="67"/>
        <v/>
      </c>
      <c r="AE319" s="609" t="str">
        <f t="shared" si="67"/>
        <v/>
      </c>
      <c r="AF319" s="609" t="str">
        <f t="shared" si="67"/>
        <v/>
      </c>
      <c r="AG319" s="609" t="str">
        <f t="shared" si="67"/>
        <v/>
      </c>
      <c r="AH319" s="609" t="str">
        <f t="shared" si="67"/>
        <v/>
      </c>
      <c r="AI319" s="609" t="str">
        <f t="shared" si="67"/>
        <v/>
      </c>
      <c r="AJ319" s="609" t="str">
        <f t="shared" si="67"/>
        <v/>
      </c>
      <c r="AK319" s="609" t="str">
        <f t="shared" si="67"/>
        <v/>
      </c>
      <c r="AL319" s="609" t="str">
        <f t="shared" si="67"/>
        <v/>
      </c>
      <c r="AM319" s="609" t="str">
        <f t="shared" si="67"/>
        <v/>
      </c>
      <c r="AN319" s="609" t="str">
        <f t="shared" si="68"/>
        <v/>
      </c>
      <c r="AO319" s="609" t="str">
        <f t="shared" si="68"/>
        <v/>
      </c>
      <c r="AP319" s="609" t="str">
        <f t="shared" si="68"/>
        <v/>
      </c>
      <c r="AQ319" s="609" t="str">
        <f t="shared" si="68"/>
        <v/>
      </c>
      <c r="AR319" s="609" t="str">
        <f t="shared" si="68"/>
        <v/>
      </c>
      <c r="AS319" s="609" t="str">
        <f t="shared" si="68"/>
        <v/>
      </c>
      <c r="AT319" s="609" t="str">
        <f t="shared" si="68"/>
        <v/>
      </c>
      <c r="AU319" s="609" t="str">
        <f t="shared" si="68"/>
        <v/>
      </c>
      <c r="AV319" s="609" t="str">
        <f t="shared" si="68"/>
        <v/>
      </c>
      <c r="AW319" s="609" t="str">
        <f t="shared" si="68"/>
        <v/>
      </c>
      <c r="AX319" s="609" t="str">
        <f t="shared" si="68"/>
        <v/>
      </c>
      <c r="AY319" s="609" t="str">
        <f t="shared" si="68"/>
        <v/>
      </c>
      <c r="AZ319" s="609" t="str">
        <f t="shared" si="68"/>
        <v/>
      </c>
      <c r="BA319" s="609" t="str">
        <f t="shared" si="68"/>
        <v/>
      </c>
      <c r="BB319" s="609" t="str">
        <f t="shared" si="68"/>
        <v/>
      </c>
      <c r="BC319" s="609" t="str">
        <f t="shared" si="68"/>
        <v/>
      </c>
      <c r="BD319" s="609" t="str">
        <f t="shared" si="69"/>
        <v/>
      </c>
      <c r="BE319" s="609" t="str">
        <f t="shared" si="69"/>
        <v/>
      </c>
      <c r="BF319" s="609" t="str">
        <f t="shared" si="69"/>
        <v/>
      </c>
      <c r="BG319" s="609" t="str">
        <f t="shared" si="69"/>
        <v/>
      </c>
    </row>
    <row r="320" spans="2:59" x14ac:dyDescent="0.25">
      <c r="B320" s="654">
        <v>314</v>
      </c>
      <c r="C320" s="654"/>
      <c r="D320" s="654"/>
      <c r="E320" s="655"/>
      <c r="F320" s="654"/>
      <c r="H320" s="609" t="str">
        <f t="shared" si="66"/>
        <v/>
      </c>
      <c r="I320" s="609" t="str">
        <f t="shared" si="66"/>
        <v/>
      </c>
      <c r="J320" s="609" t="str">
        <f t="shared" si="66"/>
        <v/>
      </c>
      <c r="K320" s="609" t="str">
        <f t="shared" si="66"/>
        <v/>
      </c>
      <c r="L320" s="609" t="str">
        <f t="shared" si="66"/>
        <v/>
      </c>
      <c r="M320" s="609" t="str">
        <f t="shared" si="66"/>
        <v/>
      </c>
      <c r="N320" s="609" t="str">
        <f t="shared" si="66"/>
        <v/>
      </c>
      <c r="O320" s="609" t="str">
        <f t="shared" si="66"/>
        <v/>
      </c>
      <c r="P320" s="609" t="str">
        <f t="shared" si="66"/>
        <v/>
      </c>
      <c r="Q320" s="609" t="str">
        <f t="shared" si="66"/>
        <v/>
      </c>
      <c r="R320" s="609" t="str">
        <f t="shared" si="66"/>
        <v/>
      </c>
      <c r="S320" s="609" t="str">
        <f t="shared" si="66"/>
        <v/>
      </c>
      <c r="T320" s="609" t="str">
        <f t="shared" si="66"/>
        <v/>
      </c>
      <c r="U320" s="609" t="str">
        <f t="shared" si="66"/>
        <v/>
      </c>
      <c r="V320" s="609" t="str">
        <f t="shared" si="66"/>
        <v/>
      </c>
      <c r="W320" s="609" t="str">
        <f t="shared" si="66"/>
        <v/>
      </c>
      <c r="X320" s="609" t="str">
        <f t="shared" si="67"/>
        <v/>
      </c>
      <c r="Y320" s="609" t="str">
        <f t="shared" si="67"/>
        <v/>
      </c>
      <c r="Z320" s="609" t="str">
        <f t="shared" si="67"/>
        <v/>
      </c>
      <c r="AA320" s="609" t="str">
        <f t="shared" si="67"/>
        <v/>
      </c>
      <c r="AB320" s="609" t="str">
        <f t="shared" si="67"/>
        <v/>
      </c>
      <c r="AC320" s="609" t="str">
        <f t="shared" si="67"/>
        <v/>
      </c>
      <c r="AD320" s="609" t="str">
        <f t="shared" si="67"/>
        <v/>
      </c>
      <c r="AE320" s="609" t="str">
        <f t="shared" si="67"/>
        <v/>
      </c>
      <c r="AF320" s="609" t="str">
        <f t="shared" si="67"/>
        <v/>
      </c>
      <c r="AG320" s="609" t="str">
        <f t="shared" si="67"/>
        <v/>
      </c>
      <c r="AH320" s="609" t="str">
        <f t="shared" si="67"/>
        <v/>
      </c>
      <c r="AI320" s="609" t="str">
        <f t="shared" si="67"/>
        <v/>
      </c>
      <c r="AJ320" s="609" t="str">
        <f t="shared" si="67"/>
        <v/>
      </c>
      <c r="AK320" s="609" t="str">
        <f t="shared" si="67"/>
        <v/>
      </c>
      <c r="AL320" s="609" t="str">
        <f t="shared" si="67"/>
        <v/>
      </c>
      <c r="AM320" s="609" t="str">
        <f t="shared" si="67"/>
        <v/>
      </c>
      <c r="AN320" s="609" t="str">
        <f t="shared" si="68"/>
        <v/>
      </c>
      <c r="AO320" s="609" t="str">
        <f t="shared" si="68"/>
        <v/>
      </c>
      <c r="AP320" s="609" t="str">
        <f t="shared" si="68"/>
        <v/>
      </c>
      <c r="AQ320" s="609" t="str">
        <f t="shared" si="68"/>
        <v/>
      </c>
      <c r="AR320" s="609" t="str">
        <f t="shared" si="68"/>
        <v/>
      </c>
      <c r="AS320" s="609" t="str">
        <f t="shared" si="68"/>
        <v/>
      </c>
      <c r="AT320" s="609" t="str">
        <f t="shared" si="68"/>
        <v/>
      </c>
      <c r="AU320" s="609" t="str">
        <f t="shared" si="68"/>
        <v/>
      </c>
      <c r="AV320" s="609" t="str">
        <f t="shared" si="68"/>
        <v/>
      </c>
      <c r="AW320" s="609" t="str">
        <f t="shared" si="68"/>
        <v/>
      </c>
      <c r="AX320" s="609" t="str">
        <f t="shared" si="68"/>
        <v/>
      </c>
      <c r="AY320" s="609" t="str">
        <f t="shared" si="68"/>
        <v/>
      </c>
      <c r="AZ320" s="609" t="str">
        <f t="shared" si="68"/>
        <v/>
      </c>
      <c r="BA320" s="609" t="str">
        <f t="shared" si="68"/>
        <v/>
      </c>
      <c r="BB320" s="609" t="str">
        <f t="shared" si="68"/>
        <v/>
      </c>
      <c r="BC320" s="609" t="str">
        <f t="shared" si="68"/>
        <v/>
      </c>
      <c r="BD320" s="609" t="str">
        <f t="shared" si="69"/>
        <v/>
      </c>
      <c r="BE320" s="609" t="str">
        <f t="shared" si="69"/>
        <v/>
      </c>
      <c r="BF320" s="609" t="str">
        <f t="shared" si="69"/>
        <v/>
      </c>
      <c r="BG320" s="609" t="str">
        <f t="shared" si="69"/>
        <v/>
      </c>
    </row>
    <row r="321" spans="2:59" x14ac:dyDescent="0.25">
      <c r="B321" s="654">
        <v>315</v>
      </c>
      <c r="C321" s="654"/>
      <c r="D321" s="654"/>
      <c r="E321" s="655"/>
      <c r="F321" s="654"/>
      <c r="H321" s="609" t="str">
        <f t="shared" si="66"/>
        <v/>
      </c>
      <c r="I321" s="609" t="str">
        <f t="shared" si="66"/>
        <v/>
      </c>
      <c r="J321" s="609" t="str">
        <f t="shared" si="66"/>
        <v/>
      </c>
      <c r="K321" s="609" t="str">
        <f t="shared" si="66"/>
        <v/>
      </c>
      <c r="L321" s="609" t="str">
        <f t="shared" si="66"/>
        <v/>
      </c>
      <c r="M321" s="609" t="str">
        <f t="shared" si="66"/>
        <v/>
      </c>
      <c r="N321" s="609" t="str">
        <f t="shared" si="66"/>
        <v/>
      </c>
      <c r="O321" s="609" t="str">
        <f t="shared" si="66"/>
        <v/>
      </c>
      <c r="P321" s="609" t="str">
        <f t="shared" si="66"/>
        <v/>
      </c>
      <c r="Q321" s="609" t="str">
        <f t="shared" si="66"/>
        <v/>
      </c>
      <c r="R321" s="609" t="str">
        <f t="shared" si="66"/>
        <v/>
      </c>
      <c r="S321" s="609" t="str">
        <f t="shared" si="66"/>
        <v/>
      </c>
      <c r="T321" s="609" t="str">
        <f t="shared" si="66"/>
        <v/>
      </c>
      <c r="U321" s="609" t="str">
        <f t="shared" si="66"/>
        <v/>
      </c>
      <c r="V321" s="609" t="str">
        <f t="shared" si="66"/>
        <v/>
      </c>
      <c r="W321" s="609" t="str">
        <f t="shared" si="66"/>
        <v/>
      </c>
      <c r="X321" s="609" t="str">
        <f t="shared" si="67"/>
        <v/>
      </c>
      <c r="Y321" s="609" t="str">
        <f t="shared" si="67"/>
        <v/>
      </c>
      <c r="Z321" s="609" t="str">
        <f t="shared" si="67"/>
        <v/>
      </c>
      <c r="AA321" s="609" t="str">
        <f t="shared" si="67"/>
        <v/>
      </c>
      <c r="AB321" s="609" t="str">
        <f t="shared" si="67"/>
        <v/>
      </c>
      <c r="AC321" s="609" t="str">
        <f t="shared" si="67"/>
        <v/>
      </c>
      <c r="AD321" s="609" t="str">
        <f t="shared" si="67"/>
        <v/>
      </c>
      <c r="AE321" s="609" t="str">
        <f t="shared" si="67"/>
        <v/>
      </c>
      <c r="AF321" s="609" t="str">
        <f t="shared" si="67"/>
        <v/>
      </c>
      <c r="AG321" s="609" t="str">
        <f t="shared" si="67"/>
        <v/>
      </c>
      <c r="AH321" s="609" t="str">
        <f t="shared" si="67"/>
        <v/>
      </c>
      <c r="AI321" s="609" t="str">
        <f t="shared" si="67"/>
        <v/>
      </c>
      <c r="AJ321" s="609" t="str">
        <f t="shared" si="67"/>
        <v/>
      </c>
      <c r="AK321" s="609" t="str">
        <f t="shared" si="67"/>
        <v/>
      </c>
      <c r="AL321" s="609" t="str">
        <f t="shared" si="67"/>
        <v/>
      </c>
      <c r="AM321" s="609" t="str">
        <f t="shared" si="67"/>
        <v/>
      </c>
      <c r="AN321" s="609" t="str">
        <f t="shared" si="68"/>
        <v/>
      </c>
      <c r="AO321" s="609" t="str">
        <f t="shared" si="68"/>
        <v/>
      </c>
      <c r="AP321" s="609" t="str">
        <f t="shared" si="68"/>
        <v/>
      </c>
      <c r="AQ321" s="609" t="str">
        <f t="shared" si="68"/>
        <v/>
      </c>
      <c r="AR321" s="609" t="str">
        <f t="shared" si="68"/>
        <v/>
      </c>
      <c r="AS321" s="609" t="str">
        <f t="shared" si="68"/>
        <v/>
      </c>
      <c r="AT321" s="609" t="str">
        <f t="shared" si="68"/>
        <v/>
      </c>
      <c r="AU321" s="609" t="str">
        <f t="shared" si="68"/>
        <v/>
      </c>
      <c r="AV321" s="609" t="str">
        <f t="shared" si="68"/>
        <v/>
      </c>
      <c r="AW321" s="609" t="str">
        <f t="shared" si="68"/>
        <v/>
      </c>
      <c r="AX321" s="609" t="str">
        <f t="shared" si="68"/>
        <v/>
      </c>
      <c r="AY321" s="609" t="str">
        <f t="shared" si="68"/>
        <v/>
      </c>
      <c r="AZ321" s="609" t="str">
        <f t="shared" si="68"/>
        <v/>
      </c>
      <c r="BA321" s="609" t="str">
        <f t="shared" si="68"/>
        <v/>
      </c>
      <c r="BB321" s="609" t="str">
        <f t="shared" si="68"/>
        <v/>
      </c>
      <c r="BC321" s="609" t="str">
        <f t="shared" si="68"/>
        <v/>
      </c>
      <c r="BD321" s="609" t="str">
        <f t="shared" si="69"/>
        <v/>
      </c>
      <c r="BE321" s="609" t="str">
        <f t="shared" si="69"/>
        <v/>
      </c>
      <c r="BF321" s="609" t="str">
        <f t="shared" si="69"/>
        <v/>
      </c>
      <c r="BG321" s="609" t="str">
        <f t="shared" si="69"/>
        <v/>
      </c>
    </row>
    <row r="322" spans="2:59" x14ac:dyDescent="0.25">
      <c r="B322" s="654">
        <v>316</v>
      </c>
      <c r="C322" s="654"/>
      <c r="D322" s="654"/>
      <c r="E322" s="655"/>
      <c r="F322" s="654"/>
      <c r="H322" s="609" t="str">
        <f t="shared" si="66"/>
        <v/>
      </c>
      <c r="I322" s="609" t="str">
        <f t="shared" si="66"/>
        <v/>
      </c>
      <c r="J322" s="609" t="str">
        <f t="shared" si="66"/>
        <v/>
      </c>
      <c r="K322" s="609" t="str">
        <f t="shared" si="66"/>
        <v/>
      </c>
      <c r="L322" s="609" t="str">
        <f t="shared" si="66"/>
        <v/>
      </c>
      <c r="M322" s="609" t="str">
        <f t="shared" si="66"/>
        <v/>
      </c>
      <c r="N322" s="609" t="str">
        <f t="shared" si="66"/>
        <v/>
      </c>
      <c r="O322" s="609" t="str">
        <f t="shared" si="66"/>
        <v/>
      </c>
      <c r="P322" s="609" t="str">
        <f t="shared" si="66"/>
        <v/>
      </c>
      <c r="Q322" s="609" t="str">
        <f t="shared" si="66"/>
        <v/>
      </c>
      <c r="R322" s="609" t="str">
        <f t="shared" si="66"/>
        <v/>
      </c>
      <c r="S322" s="609" t="str">
        <f t="shared" si="66"/>
        <v/>
      </c>
      <c r="T322" s="609" t="str">
        <f t="shared" si="66"/>
        <v/>
      </c>
      <c r="U322" s="609" t="str">
        <f t="shared" si="66"/>
        <v/>
      </c>
      <c r="V322" s="609" t="str">
        <f t="shared" si="66"/>
        <v/>
      </c>
      <c r="W322" s="609" t="str">
        <f t="shared" si="66"/>
        <v/>
      </c>
      <c r="X322" s="609" t="str">
        <f t="shared" si="67"/>
        <v/>
      </c>
      <c r="Y322" s="609" t="str">
        <f t="shared" si="67"/>
        <v/>
      </c>
      <c r="Z322" s="609" t="str">
        <f t="shared" si="67"/>
        <v/>
      </c>
      <c r="AA322" s="609" t="str">
        <f t="shared" si="67"/>
        <v/>
      </c>
      <c r="AB322" s="609" t="str">
        <f t="shared" si="67"/>
        <v/>
      </c>
      <c r="AC322" s="609" t="str">
        <f t="shared" si="67"/>
        <v/>
      </c>
      <c r="AD322" s="609" t="str">
        <f t="shared" si="67"/>
        <v/>
      </c>
      <c r="AE322" s="609" t="str">
        <f t="shared" si="67"/>
        <v/>
      </c>
      <c r="AF322" s="609" t="str">
        <f t="shared" si="67"/>
        <v/>
      </c>
      <c r="AG322" s="609" t="str">
        <f t="shared" si="67"/>
        <v/>
      </c>
      <c r="AH322" s="609" t="str">
        <f t="shared" si="67"/>
        <v/>
      </c>
      <c r="AI322" s="609" t="str">
        <f t="shared" si="67"/>
        <v/>
      </c>
      <c r="AJ322" s="609" t="str">
        <f t="shared" si="67"/>
        <v/>
      </c>
      <c r="AK322" s="609" t="str">
        <f t="shared" si="67"/>
        <v/>
      </c>
      <c r="AL322" s="609" t="str">
        <f t="shared" si="67"/>
        <v/>
      </c>
      <c r="AM322" s="609" t="str">
        <f t="shared" si="67"/>
        <v/>
      </c>
      <c r="AN322" s="609" t="str">
        <f t="shared" si="68"/>
        <v/>
      </c>
      <c r="AO322" s="609" t="str">
        <f t="shared" si="68"/>
        <v/>
      </c>
      <c r="AP322" s="609" t="str">
        <f t="shared" si="68"/>
        <v/>
      </c>
      <c r="AQ322" s="609" t="str">
        <f t="shared" si="68"/>
        <v/>
      </c>
      <c r="AR322" s="609" t="str">
        <f t="shared" si="68"/>
        <v/>
      </c>
      <c r="AS322" s="609" t="str">
        <f t="shared" si="68"/>
        <v/>
      </c>
      <c r="AT322" s="609" t="str">
        <f t="shared" si="68"/>
        <v/>
      </c>
      <c r="AU322" s="609" t="str">
        <f t="shared" si="68"/>
        <v/>
      </c>
      <c r="AV322" s="609" t="str">
        <f t="shared" si="68"/>
        <v/>
      </c>
      <c r="AW322" s="609" t="str">
        <f t="shared" si="68"/>
        <v/>
      </c>
      <c r="AX322" s="609" t="str">
        <f t="shared" si="68"/>
        <v/>
      </c>
      <c r="AY322" s="609" t="str">
        <f t="shared" si="68"/>
        <v/>
      </c>
      <c r="AZ322" s="609" t="str">
        <f t="shared" si="68"/>
        <v/>
      </c>
      <c r="BA322" s="609" t="str">
        <f t="shared" si="68"/>
        <v/>
      </c>
      <c r="BB322" s="609" t="str">
        <f t="shared" si="68"/>
        <v/>
      </c>
      <c r="BC322" s="609" t="str">
        <f t="shared" si="68"/>
        <v/>
      </c>
      <c r="BD322" s="609" t="str">
        <f t="shared" si="69"/>
        <v/>
      </c>
      <c r="BE322" s="609" t="str">
        <f t="shared" si="69"/>
        <v/>
      </c>
      <c r="BF322" s="609" t="str">
        <f t="shared" si="69"/>
        <v/>
      </c>
      <c r="BG322" s="609" t="str">
        <f t="shared" si="69"/>
        <v/>
      </c>
    </row>
    <row r="323" spans="2:59" x14ac:dyDescent="0.25">
      <c r="B323" s="654">
        <v>317</v>
      </c>
      <c r="C323" s="654"/>
      <c r="D323" s="654"/>
      <c r="E323" s="655"/>
      <c r="F323" s="654"/>
      <c r="H323" s="609" t="str">
        <f t="shared" si="66"/>
        <v/>
      </c>
      <c r="I323" s="609" t="str">
        <f t="shared" si="66"/>
        <v/>
      </c>
      <c r="J323" s="609" t="str">
        <f t="shared" si="66"/>
        <v/>
      </c>
      <c r="K323" s="609" t="str">
        <f t="shared" si="66"/>
        <v/>
      </c>
      <c r="L323" s="609" t="str">
        <f t="shared" si="66"/>
        <v/>
      </c>
      <c r="M323" s="609" t="str">
        <f t="shared" si="66"/>
        <v/>
      </c>
      <c r="N323" s="609" t="str">
        <f t="shared" si="66"/>
        <v/>
      </c>
      <c r="O323" s="609" t="str">
        <f t="shared" si="66"/>
        <v/>
      </c>
      <c r="P323" s="609" t="str">
        <f t="shared" si="66"/>
        <v/>
      </c>
      <c r="Q323" s="609" t="str">
        <f t="shared" si="66"/>
        <v/>
      </c>
      <c r="R323" s="609" t="str">
        <f t="shared" si="66"/>
        <v/>
      </c>
      <c r="S323" s="609" t="str">
        <f t="shared" si="66"/>
        <v/>
      </c>
      <c r="T323" s="609" t="str">
        <f t="shared" si="66"/>
        <v/>
      </c>
      <c r="U323" s="609" t="str">
        <f t="shared" si="66"/>
        <v/>
      </c>
      <c r="V323" s="609" t="str">
        <f t="shared" si="66"/>
        <v/>
      </c>
      <c r="W323" s="609" t="str">
        <f t="shared" si="66"/>
        <v/>
      </c>
      <c r="X323" s="609" t="str">
        <f t="shared" si="67"/>
        <v/>
      </c>
      <c r="Y323" s="609" t="str">
        <f t="shared" si="67"/>
        <v/>
      </c>
      <c r="Z323" s="609" t="str">
        <f t="shared" si="67"/>
        <v/>
      </c>
      <c r="AA323" s="609" t="str">
        <f t="shared" si="67"/>
        <v/>
      </c>
      <c r="AB323" s="609" t="str">
        <f t="shared" si="67"/>
        <v/>
      </c>
      <c r="AC323" s="609" t="str">
        <f t="shared" si="67"/>
        <v/>
      </c>
      <c r="AD323" s="609" t="str">
        <f t="shared" si="67"/>
        <v/>
      </c>
      <c r="AE323" s="609" t="str">
        <f t="shared" si="67"/>
        <v/>
      </c>
      <c r="AF323" s="609" t="str">
        <f t="shared" si="67"/>
        <v/>
      </c>
      <c r="AG323" s="609" t="str">
        <f t="shared" si="67"/>
        <v/>
      </c>
      <c r="AH323" s="609" t="str">
        <f t="shared" si="67"/>
        <v/>
      </c>
      <c r="AI323" s="609" t="str">
        <f t="shared" si="67"/>
        <v/>
      </c>
      <c r="AJ323" s="609" t="str">
        <f t="shared" si="67"/>
        <v/>
      </c>
      <c r="AK323" s="609" t="str">
        <f t="shared" si="67"/>
        <v/>
      </c>
      <c r="AL323" s="609" t="str">
        <f t="shared" si="67"/>
        <v/>
      </c>
      <c r="AM323" s="609" t="str">
        <f t="shared" si="67"/>
        <v/>
      </c>
      <c r="AN323" s="609" t="str">
        <f t="shared" si="68"/>
        <v/>
      </c>
      <c r="AO323" s="609" t="str">
        <f t="shared" si="68"/>
        <v/>
      </c>
      <c r="AP323" s="609" t="str">
        <f t="shared" si="68"/>
        <v/>
      </c>
      <c r="AQ323" s="609" t="str">
        <f t="shared" si="68"/>
        <v/>
      </c>
      <c r="AR323" s="609" t="str">
        <f t="shared" si="68"/>
        <v/>
      </c>
      <c r="AS323" s="609" t="str">
        <f t="shared" si="68"/>
        <v/>
      </c>
      <c r="AT323" s="609" t="str">
        <f t="shared" si="68"/>
        <v/>
      </c>
      <c r="AU323" s="609" t="str">
        <f t="shared" si="68"/>
        <v/>
      </c>
      <c r="AV323" s="609" t="str">
        <f t="shared" si="68"/>
        <v/>
      </c>
      <c r="AW323" s="609" t="str">
        <f t="shared" si="68"/>
        <v/>
      </c>
      <c r="AX323" s="609" t="str">
        <f t="shared" si="68"/>
        <v/>
      </c>
      <c r="AY323" s="609" t="str">
        <f t="shared" si="68"/>
        <v/>
      </c>
      <c r="AZ323" s="609" t="str">
        <f t="shared" si="68"/>
        <v/>
      </c>
      <c r="BA323" s="609" t="str">
        <f t="shared" si="68"/>
        <v/>
      </c>
      <c r="BB323" s="609" t="str">
        <f t="shared" si="68"/>
        <v/>
      </c>
      <c r="BC323" s="609" t="str">
        <f t="shared" si="68"/>
        <v/>
      </c>
      <c r="BD323" s="609" t="str">
        <f t="shared" si="69"/>
        <v/>
      </c>
      <c r="BE323" s="609" t="str">
        <f t="shared" si="69"/>
        <v/>
      </c>
      <c r="BF323" s="609" t="str">
        <f t="shared" si="69"/>
        <v/>
      </c>
      <c r="BG323" s="609" t="str">
        <f t="shared" si="69"/>
        <v/>
      </c>
    </row>
    <row r="324" spans="2:59" x14ac:dyDescent="0.25">
      <c r="B324" s="654">
        <v>318</v>
      </c>
      <c r="C324" s="654"/>
      <c r="D324" s="654"/>
      <c r="E324" s="655"/>
      <c r="F324" s="654"/>
      <c r="H324" s="609" t="str">
        <f t="shared" si="66"/>
        <v/>
      </c>
      <c r="I324" s="609" t="str">
        <f t="shared" si="66"/>
        <v/>
      </c>
      <c r="J324" s="609" t="str">
        <f t="shared" si="66"/>
        <v/>
      </c>
      <c r="K324" s="609" t="str">
        <f t="shared" si="66"/>
        <v/>
      </c>
      <c r="L324" s="609" t="str">
        <f t="shared" si="66"/>
        <v/>
      </c>
      <c r="M324" s="609" t="str">
        <f t="shared" si="66"/>
        <v/>
      </c>
      <c r="N324" s="609" t="str">
        <f t="shared" si="66"/>
        <v/>
      </c>
      <c r="O324" s="609" t="str">
        <f t="shared" si="66"/>
        <v/>
      </c>
      <c r="P324" s="609" t="str">
        <f t="shared" si="66"/>
        <v/>
      </c>
      <c r="Q324" s="609" t="str">
        <f t="shared" si="66"/>
        <v/>
      </c>
      <c r="R324" s="609" t="str">
        <f t="shared" si="66"/>
        <v/>
      </c>
      <c r="S324" s="609" t="str">
        <f t="shared" si="66"/>
        <v/>
      </c>
      <c r="T324" s="609" t="str">
        <f t="shared" si="66"/>
        <v/>
      </c>
      <c r="U324" s="609" t="str">
        <f t="shared" si="66"/>
        <v/>
      </c>
      <c r="V324" s="609" t="str">
        <f t="shared" si="66"/>
        <v/>
      </c>
      <c r="W324" s="609" t="str">
        <f t="shared" si="66"/>
        <v/>
      </c>
      <c r="X324" s="609" t="str">
        <f t="shared" si="67"/>
        <v/>
      </c>
      <c r="Y324" s="609" t="str">
        <f t="shared" si="67"/>
        <v/>
      </c>
      <c r="Z324" s="609" t="str">
        <f t="shared" si="67"/>
        <v/>
      </c>
      <c r="AA324" s="609" t="str">
        <f t="shared" si="67"/>
        <v/>
      </c>
      <c r="AB324" s="609" t="str">
        <f t="shared" si="67"/>
        <v/>
      </c>
      <c r="AC324" s="609" t="str">
        <f t="shared" si="67"/>
        <v/>
      </c>
      <c r="AD324" s="609" t="str">
        <f t="shared" si="67"/>
        <v/>
      </c>
      <c r="AE324" s="609" t="str">
        <f t="shared" si="67"/>
        <v/>
      </c>
      <c r="AF324" s="609" t="str">
        <f t="shared" si="67"/>
        <v/>
      </c>
      <c r="AG324" s="609" t="str">
        <f t="shared" si="67"/>
        <v/>
      </c>
      <c r="AH324" s="609" t="str">
        <f t="shared" si="67"/>
        <v/>
      </c>
      <c r="AI324" s="609" t="str">
        <f t="shared" si="67"/>
        <v/>
      </c>
      <c r="AJ324" s="609" t="str">
        <f t="shared" si="67"/>
        <v/>
      </c>
      <c r="AK324" s="609" t="str">
        <f t="shared" si="67"/>
        <v/>
      </c>
      <c r="AL324" s="609" t="str">
        <f t="shared" si="67"/>
        <v/>
      </c>
      <c r="AM324" s="609" t="str">
        <f t="shared" si="67"/>
        <v/>
      </c>
      <c r="AN324" s="609" t="str">
        <f t="shared" si="68"/>
        <v/>
      </c>
      <c r="AO324" s="609" t="str">
        <f t="shared" si="68"/>
        <v/>
      </c>
      <c r="AP324" s="609" t="str">
        <f t="shared" si="68"/>
        <v/>
      </c>
      <c r="AQ324" s="609" t="str">
        <f t="shared" si="68"/>
        <v/>
      </c>
      <c r="AR324" s="609" t="str">
        <f t="shared" si="68"/>
        <v/>
      </c>
      <c r="AS324" s="609" t="str">
        <f t="shared" si="68"/>
        <v/>
      </c>
      <c r="AT324" s="609" t="str">
        <f t="shared" si="68"/>
        <v/>
      </c>
      <c r="AU324" s="609" t="str">
        <f t="shared" si="68"/>
        <v/>
      </c>
      <c r="AV324" s="609" t="str">
        <f t="shared" si="68"/>
        <v/>
      </c>
      <c r="AW324" s="609" t="str">
        <f t="shared" si="68"/>
        <v/>
      </c>
      <c r="AX324" s="609" t="str">
        <f t="shared" si="68"/>
        <v/>
      </c>
      <c r="AY324" s="609" t="str">
        <f t="shared" si="68"/>
        <v/>
      </c>
      <c r="AZ324" s="609" t="str">
        <f t="shared" si="68"/>
        <v/>
      </c>
      <c r="BA324" s="609" t="str">
        <f t="shared" si="68"/>
        <v/>
      </c>
      <c r="BB324" s="609" t="str">
        <f t="shared" si="68"/>
        <v/>
      </c>
      <c r="BC324" s="609" t="str">
        <f t="shared" si="68"/>
        <v/>
      </c>
      <c r="BD324" s="609" t="str">
        <f t="shared" si="69"/>
        <v/>
      </c>
      <c r="BE324" s="609" t="str">
        <f t="shared" si="69"/>
        <v/>
      </c>
      <c r="BF324" s="609" t="str">
        <f t="shared" si="69"/>
        <v/>
      </c>
      <c r="BG324" s="609" t="str">
        <f t="shared" si="69"/>
        <v/>
      </c>
    </row>
    <row r="325" spans="2:59" x14ac:dyDescent="0.25">
      <c r="B325" s="654">
        <v>319</v>
      </c>
      <c r="C325" s="654"/>
      <c r="D325" s="654"/>
      <c r="E325" s="655"/>
      <c r="F325" s="654"/>
      <c r="H325" s="609" t="str">
        <f t="shared" si="66"/>
        <v/>
      </c>
      <c r="I325" s="609" t="str">
        <f t="shared" si="66"/>
        <v/>
      </c>
      <c r="J325" s="609" t="str">
        <f t="shared" si="66"/>
        <v/>
      </c>
      <c r="K325" s="609" t="str">
        <f t="shared" si="66"/>
        <v/>
      </c>
      <c r="L325" s="609" t="str">
        <f t="shared" si="66"/>
        <v/>
      </c>
      <c r="M325" s="609" t="str">
        <f t="shared" si="66"/>
        <v/>
      </c>
      <c r="N325" s="609" t="str">
        <f t="shared" si="66"/>
        <v/>
      </c>
      <c r="O325" s="609" t="str">
        <f t="shared" si="66"/>
        <v/>
      </c>
      <c r="P325" s="609" t="str">
        <f t="shared" si="66"/>
        <v/>
      </c>
      <c r="Q325" s="609" t="str">
        <f t="shared" si="66"/>
        <v/>
      </c>
      <c r="R325" s="609" t="str">
        <f t="shared" si="66"/>
        <v/>
      </c>
      <c r="S325" s="609" t="str">
        <f t="shared" si="66"/>
        <v/>
      </c>
      <c r="T325" s="609" t="str">
        <f t="shared" si="66"/>
        <v/>
      </c>
      <c r="U325" s="609" t="str">
        <f t="shared" ref="U325:AJ340" si="70">IF($D325=U$6,$B325&amp;", ","")</f>
        <v/>
      </c>
      <c r="V325" s="609" t="str">
        <f t="shared" si="70"/>
        <v/>
      </c>
      <c r="W325" s="609" t="str">
        <f t="shared" si="70"/>
        <v/>
      </c>
      <c r="X325" s="609" t="str">
        <f t="shared" si="70"/>
        <v/>
      </c>
      <c r="Y325" s="609" t="str">
        <f t="shared" si="70"/>
        <v/>
      </c>
      <c r="Z325" s="609" t="str">
        <f t="shared" si="70"/>
        <v/>
      </c>
      <c r="AA325" s="609" t="str">
        <f t="shared" si="70"/>
        <v/>
      </c>
      <c r="AB325" s="609" t="str">
        <f t="shared" si="70"/>
        <v/>
      </c>
      <c r="AC325" s="609" t="str">
        <f t="shared" si="70"/>
        <v/>
      </c>
      <c r="AD325" s="609" t="str">
        <f t="shared" si="70"/>
        <v/>
      </c>
      <c r="AE325" s="609" t="str">
        <f t="shared" si="70"/>
        <v/>
      </c>
      <c r="AF325" s="609" t="str">
        <f t="shared" si="70"/>
        <v/>
      </c>
      <c r="AG325" s="609" t="str">
        <f t="shared" si="70"/>
        <v/>
      </c>
      <c r="AH325" s="609" t="str">
        <f t="shared" si="70"/>
        <v/>
      </c>
      <c r="AI325" s="609" t="str">
        <f t="shared" si="70"/>
        <v/>
      </c>
      <c r="AJ325" s="609" t="str">
        <f t="shared" si="70"/>
        <v/>
      </c>
      <c r="AK325" s="609" t="str">
        <f t="shared" si="67"/>
        <v/>
      </c>
      <c r="AL325" s="609" t="str">
        <f t="shared" si="67"/>
        <v/>
      </c>
      <c r="AM325" s="609" t="str">
        <f t="shared" si="67"/>
        <v/>
      </c>
      <c r="AN325" s="609" t="str">
        <f t="shared" si="68"/>
        <v/>
      </c>
      <c r="AO325" s="609" t="str">
        <f t="shared" si="68"/>
        <v/>
      </c>
      <c r="AP325" s="609" t="str">
        <f t="shared" si="68"/>
        <v/>
      </c>
      <c r="AQ325" s="609" t="str">
        <f t="shared" si="68"/>
        <v/>
      </c>
      <c r="AR325" s="609" t="str">
        <f t="shared" si="68"/>
        <v/>
      </c>
      <c r="AS325" s="609" t="str">
        <f t="shared" si="68"/>
        <v/>
      </c>
      <c r="AT325" s="609" t="str">
        <f t="shared" si="68"/>
        <v/>
      </c>
      <c r="AU325" s="609" t="str">
        <f t="shared" si="68"/>
        <v/>
      </c>
      <c r="AV325" s="609" t="str">
        <f t="shared" si="68"/>
        <v/>
      </c>
      <c r="AW325" s="609" t="str">
        <f t="shared" si="68"/>
        <v/>
      </c>
      <c r="AX325" s="609" t="str">
        <f t="shared" si="68"/>
        <v/>
      </c>
      <c r="AY325" s="609" t="str">
        <f t="shared" si="68"/>
        <v/>
      </c>
      <c r="AZ325" s="609" t="str">
        <f t="shared" si="68"/>
        <v/>
      </c>
      <c r="BA325" s="609" t="str">
        <f t="shared" si="68"/>
        <v/>
      </c>
      <c r="BB325" s="609" t="str">
        <f t="shared" si="68"/>
        <v/>
      </c>
      <c r="BC325" s="609" t="str">
        <f t="shared" ref="BC325:BG345" si="71">IF($D325=BC$6,$B325&amp;", ","")</f>
        <v/>
      </c>
      <c r="BD325" s="609" t="str">
        <f t="shared" si="71"/>
        <v/>
      </c>
      <c r="BE325" s="609" t="str">
        <f t="shared" si="71"/>
        <v/>
      </c>
      <c r="BF325" s="609" t="str">
        <f t="shared" si="71"/>
        <v/>
      </c>
      <c r="BG325" s="609" t="str">
        <f t="shared" si="71"/>
        <v/>
      </c>
    </row>
    <row r="326" spans="2:59" x14ac:dyDescent="0.25">
      <c r="B326" s="654">
        <v>320</v>
      </c>
      <c r="C326" s="654"/>
      <c r="D326" s="654"/>
      <c r="E326" s="655"/>
      <c r="F326" s="654"/>
      <c r="H326" s="609" t="str">
        <f t="shared" ref="H326:W341" si="72">IF($D326=H$6,$B326&amp;", ","")</f>
        <v/>
      </c>
      <c r="I326" s="609" t="str">
        <f t="shared" si="72"/>
        <v/>
      </c>
      <c r="J326" s="609" t="str">
        <f t="shared" si="72"/>
        <v/>
      </c>
      <c r="K326" s="609" t="str">
        <f t="shared" si="72"/>
        <v/>
      </c>
      <c r="L326" s="609" t="str">
        <f t="shared" si="72"/>
        <v/>
      </c>
      <c r="M326" s="609" t="str">
        <f t="shared" si="72"/>
        <v/>
      </c>
      <c r="N326" s="609" t="str">
        <f t="shared" si="72"/>
        <v/>
      </c>
      <c r="O326" s="609" t="str">
        <f t="shared" si="72"/>
        <v/>
      </c>
      <c r="P326" s="609" t="str">
        <f t="shared" si="72"/>
        <v/>
      </c>
      <c r="Q326" s="609" t="str">
        <f t="shared" si="72"/>
        <v/>
      </c>
      <c r="R326" s="609" t="str">
        <f t="shared" si="72"/>
        <v/>
      </c>
      <c r="S326" s="609" t="str">
        <f t="shared" si="72"/>
        <v/>
      </c>
      <c r="T326" s="609" t="str">
        <f t="shared" si="72"/>
        <v/>
      </c>
      <c r="U326" s="609" t="str">
        <f t="shared" si="72"/>
        <v/>
      </c>
      <c r="V326" s="609" t="str">
        <f t="shared" si="72"/>
        <v/>
      </c>
      <c r="W326" s="609" t="str">
        <f t="shared" si="72"/>
        <v/>
      </c>
      <c r="X326" s="609" t="str">
        <f t="shared" si="70"/>
        <v/>
      </c>
      <c r="Y326" s="609" t="str">
        <f t="shared" si="70"/>
        <v/>
      </c>
      <c r="Z326" s="609" t="str">
        <f t="shared" si="70"/>
        <v/>
      </c>
      <c r="AA326" s="609" t="str">
        <f t="shared" si="70"/>
        <v/>
      </c>
      <c r="AB326" s="609" t="str">
        <f t="shared" si="70"/>
        <v/>
      </c>
      <c r="AC326" s="609" t="str">
        <f t="shared" si="70"/>
        <v/>
      </c>
      <c r="AD326" s="609" t="str">
        <f t="shared" si="70"/>
        <v/>
      </c>
      <c r="AE326" s="609" t="str">
        <f t="shared" si="70"/>
        <v/>
      </c>
      <c r="AF326" s="609" t="str">
        <f t="shared" si="70"/>
        <v/>
      </c>
      <c r="AG326" s="609" t="str">
        <f t="shared" si="70"/>
        <v/>
      </c>
      <c r="AH326" s="609" t="str">
        <f t="shared" si="70"/>
        <v/>
      </c>
      <c r="AI326" s="609" t="str">
        <f t="shared" si="70"/>
        <v/>
      </c>
      <c r="AJ326" s="609" t="str">
        <f t="shared" si="70"/>
        <v/>
      </c>
      <c r="AK326" s="609" t="str">
        <f t="shared" si="67"/>
        <v/>
      </c>
      <c r="AL326" s="609" t="str">
        <f t="shared" si="67"/>
        <v/>
      </c>
      <c r="AM326" s="609" t="str">
        <f t="shared" si="67"/>
        <v/>
      </c>
      <c r="AN326" s="609" t="str">
        <f t="shared" ref="AN326:BC345" si="73">IF($D326=AN$6,$B326&amp;", ","")</f>
        <v/>
      </c>
      <c r="AO326" s="609" t="str">
        <f t="shared" si="73"/>
        <v/>
      </c>
      <c r="AP326" s="609" t="str">
        <f t="shared" si="73"/>
        <v/>
      </c>
      <c r="AQ326" s="609" t="str">
        <f t="shared" si="73"/>
        <v/>
      </c>
      <c r="AR326" s="609" t="str">
        <f t="shared" si="73"/>
        <v/>
      </c>
      <c r="AS326" s="609" t="str">
        <f t="shared" si="73"/>
        <v/>
      </c>
      <c r="AT326" s="609" t="str">
        <f t="shared" si="73"/>
        <v/>
      </c>
      <c r="AU326" s="609" t="str">
        <f t="shared" si="73"/>
        <v/>
      </c>
      <c r="AV326" s="609" t="str">
        <f t="shared" si="73"/>
        <v/>
      </c>
      <c r="AW326" s="609" t="str">
        <f t="shared" si="73"/>
        <v/>
      </c>
      <c r="AX326" s="609" t="str">
        <f t="shared" si="73"/>
        <v/>
      </c>
      <c r="AY326" s="609" t="str">
        <f t="shared" si="73"/>
        <v/>
      </c>
      <c r="AZ326" s="609" t="str">
        <f t="shared" si="73"/>
        <v/>
      </c>
      <c r="BA326" s="609" t="str">
        <f t="shared" si="73"/>
        <v/>
      </c>
      <c r="BB326" s="609" t="str">
        <f t="shared" si="73"/>
        <v/>
      </c>
      <c r="BC326" s="609" t="str">
        <f t="shared" si="73"/>
        <v/>
      </c>
      <c r="BD326" s="609" t="str">
        <f t="shared" si="71"/>
        <v/>
      </c>
      <c r="BE326" s="609" t="str">
        <f t="shared" si="71"/>
        <v/>
      </c>
      <c r="BF326" s="609" t="str">
        <f t="shared" si="71"/>
        <v/>
      </c>
      <c r="BG326" s="609" t="str">
        <f t="shared" si="71"/>
        <v/>
      </c>
    </row>
    <row r="327" spans="2:59" x14ac:dyDescent="0.25">
      <c r="B327" s="654">
        <v>321</v>
      </c>
      <c r="C327" s="654"/>
      <c r="D327" s="654"/>
      <c r="E327" s="655"/>
      <c r="F327" s="654"/>
      <c r="H327" s="609" t="str">
        <f t="shared" si="72"/>
        <v/>
      </c>
      <c r="I327" s="609" t="str">
        <f t="shared" si="72"/>
        <v/>
      </c>
      <c r="J327" s="609" t="str">
        <f t="shared" si="72"/>
        <v/>
      </c>
      <c r="K327" s="609" t="str">
        <f t="shared" si="72"/>
        <v/>
      </c>
      <c r="L327" s="609" t="str">
        <f t="shared" si="72"/>
        <v/>
      </c>
      <c r="M327" s="609" t="str">
        <f t="shared" si="72"/>
        <v/>
      </c>
      <c r="N327" s="609" t="str">
        <f t="shared" si="72"/>
        <v/>
      </c>
      <c r="O327" s="609" t="str">
        <f t="shared" si="72"/>
        <v/>
      </c>
      <c r="P327" s="609" t="str">
        <f t="shared" si="72"/>
        <v/>
      </c>
      <c r="Q327" s="609" t="str">
        <f t="shared" si="72"/>
        <v/>
      </c>
      <c r="R327" s="609" t="str">
        <f t="shared" si="72"/>
        <v/>
      </c>
      <c r="S327" s="609" t="str">
        <f t="shared" si="72"/>
        <v/>
      </c>
      <c r="T327" s="609" t="str">
        <f t="shared" si="72"/>
        <v/>
      </c>
      <c r="U327" s="609" t="str">
        <f t="shared" si="72"/>
        <v/>
      </c>
      <c r="V327" s="609" t="str">
        <f t="shared" si="72"/>
        <v/>
      </c>
      <c r="W327" s="609" t="str">
        <f t="shared" si="72"/>
        <v/>
      </c>
      <c r="X327" s="609" t="str">
        <f t="shared" si="70"/>
        <v/>
      </c>
      <c r="Y327" s="609" t="str">
        <f t="shared" si="70"/>
        <v/>
      </c>
      <c r="Z327" s="609" t="str">
        <f t="shared" si="70"/>
        <v/>
      </c>
      <c r="AA327" s="609" t="str">
        <f t="shared" si="70"/>
        <v/>
      </c>
      <c r="AB327" s="609" t="str">
        <f t="shared" si="70"/>
        <v/>
      </c>
      <c r="AC327" s="609" t="str">
        <f t="shared" si="70"/>
        <v/>
      </c>
      <c r="AD327" s="609" t="str">
        <f t="shared" si="70"/>
        <v/>
      </c>
      <c r="AE327" s="609" t="str">
        <f t="shared" si="70"/>
        <v/>
      </c>
      <c r="AF327" s="609" t="str">
        <f t="shared" si="70"/>
        <v/>
      </c>
      <c r="AG327" s="609" t="str">
        <f t="shared" si="70"/>
        <v/>
      </c>
      <c r="AH327" s="609" t="str">
        <f t="shared" si="70"/>
        <v/>
      </c>
      <c r="AI327" s="609" t="str">
        <f t="shared" si="70"/>
        <v/>
      </c>
      <c r="AJ327" s="609" t="str">
        <f t="shared" si="70"/>
        <v/>
      </c>
      <c r="AK327" s="609" t="str">
        <f t="shared" si="67"/>
        <v/>
      </c>
      <c r="AL327" s="609" t="str">
        <f t="shared" si="67"/>
        <v/>
      </c>
      <c r="AM327" s="609" t="str">
        <f t="shared" si="67"/>
        <v/>
      </c>
      <c r="AN327" s="609" t="str">
        <f t="shared" si="73"/>
        <v/>
      </c>
      <c r="AO327" s="609" t="str">
        <f t="shared" si="73"/>
        <v/>
      </c>
      <c r="AP327" s="609" t="str">
        <f t="shared" si="73"/>
        <v/>
      </c>
      <c r="AQ327" s="609" t="str">
        <f t="shared" si="73"/>
        <v/>
      </c>
      <c r="AR327" s="609" t="str">
        <f t="shared" si="73"/>
        <v/>
      </c>
      <c r="AS327" s="609" t="str">
        <f t="shared" si="73"/>
        <v/>
      </c>
      <c r="AT327" s="609" t="str">
        <f t="shared" si="73"/>
        <v/>
      </c>
      <c r="AU327" s="609" t="str">
        <f t="shared" si="73"/>
        <v/>
      </c>
      <c r="AV327" s="609" t="str">
        <f t="shared" si="73"/>
        <v/>
      </c>
      <c r="AW327" s="609" t="str">
        <f t="shared" si="73"/>
        <v/>
      </c>
      <c r="AX327" s="609" t="str">
        <f t="shared" si="73"/>
        <v/>
      </c>
      <c r="AY327" s="609" t="str">
        <f t="shared" si="73"/>
        <v/>
      </c>
      <c r="AZ327" s="609" t="str">
        <f t="shared" si="73"/>
        <v/>
      </c>
      <c r="BA327" s="609" t="str">
        <f t="shared" si="73"/>
        <v/>
      </c>
      <c r="BB327" s="609" t="str">
        <f t="shared" si="73"/>
        <v/>
      </c>
      <c r="BC327" s="609" t="str">
        <f t="shared" si="73"/>
        <v/>
      </c>
      <c r="BD327" s="609" t="str">
        <f t="shared" si="71"/>
        <v/>
      </c>
      <c r="BE327" s="609" t="str">
        <f t="shared" si="71"/>
        <v/>
      </c>
      <c r="BF327" s="609" t="str">
        <f t="shared" si="71"/>
        <v/>
      </c>
      <c r="BG327" s="609" t="str">
        <f t="shared" si="71"/>
        <v/>
      </c>
    </row>
    <row r="328" spans="2:59" x14ac:dyDescent="0.25">
      <c r="B328" s="654">
        <v>322</v>
      </c>
      <c r="C328" s="654"/>
      <c r="D328" s="654"/>
      <c r="E328" s="655"/>
      <c r="F328" s="654"/>
      <c r="H328" s="609" t="str">
        <f t="shared" si="72"/>
        <v/>
      </c>
      <c r="I328" s="609" t="str">
        <f t="shared" si="72"/>
        <v/>
      </c>
      <c r="J328" s="609" t="str">
        <f t="shared" si="72"/>
        <v/>
      </c>
      <c r="K328" s="609" t="str">
        <f t="shared" si="72"/>
        <v/>
      </c>
      <c r="L328" s="609" t="str">
        <f t="shared" si="72"/>
        <v/>
      </c>
      <c r="M328" s="609" t="str">
        <f t="shared" si="72"/>
        <v/>
      </c>
      <c r="N328" s="609" t="str">
        <f t="shared" si="72"/>
        <v/>
      </c>
      <c r="O328" s="609" t="str">
        <f t="shared" si="72"/>
        <v/>
      </c>
      <c r="P328" s="609" t="str">
        <f t="shared" si="72"/>
        <v/>
      </c>
      <c r="Q328" s="609" t="str">
        <f t="shared" si="72"/>
        <v/>
      </c>
      <c r="R328" s="609" t="str">
        <f t="shared" si="72"/>
        <v/>
      </c>
      <c r="S328" s="609" t="str">
        <f t="shared" si="72"/>
        <v/>
      </c>
      <c r="T328" s="609" t="str">
        <f t="shared" si="72"/>
        <v/>
      </c>
      <c r="U328" s="609" t="str">
        <f t="shared" si="72"/>
        <v/>
      </c>
      <c r="V328" s="609" t="str">
        <f t="shared" si="72"/>
        <v/>
      </c>
      <c r="W328" s="609" t="str">
        <f t="shared" si="72"/>
        <v/>
      </c>
      <c r="X328" s="609" t="str">
        <f t="shared" si="70"/>
        <v/>
      </c>
      <c r="Y328" s="609" t="str">
        <f t="shared" si="70"/>
        <v/>
      </c>
      <c r="Z328" s="609" t="str">
        <f t="shared" si="70"/>
        <v/>
      </c>
      <c r="AA328" s="609" t="str">
        <f t="shared" si="70"/>
        <v/>
      </c>
      <c r="AB328" s="609" t="str">
        <f t="shared" si="70"/>
        <v/>
      </c>
      <c r="AC328" s="609" t="str">
        <f t="shared" si="70"/>
        <v/>
      </c>
      <c r="AD328" s="609" t="str">
        <f t="shared" si="70"/>
        <v/>
      </c>
      <c r="AE328" s="609" t="str">
        <f t="shared" si="70"/>
        <v/>
      </c>
      <c r="AF328" s="609" t="str">
        <f t="shared" si="70"/>
        <v/>
      </c>
      <c r="AG328" s="609" t="str">
        <f t="shared" si="70"/>
        <v/>
      </c>
      <c r="AH328" s="609" t="str">
        <f t="shared" si="70"/>
        <v/>
      </c>
      <c r="AI328" s="609" t="str">
        <f t="shared" si="70"/>
        <v/>
      </c>
      <c r="AJ328" s="609" t="str">
        <f t="shared" si="70"/>
        <v/>
      </c>
      <c r="AK328" s="609" t="str">
        <f t="shared" si="67"/>
        <v/>
      </c>
      <c r="AL328" s="609" t="str">
        <f t="shared" si="67"/>
        <v/>
      </c>
      <c r="AM328" s="609" t="str">
        <f t="shared" si="67"/>
        <v/>
      </c>
      <c r="AN328" s="609" t="str">
        <f t="shared" si="73"/>
        <v/>
      </c>
      <c r="AO328" s="609" t="str">
        <f t="shared" si="73"/>
        <v/>
      </c>
      <c r="AP328" s="609" t="str">
        <f t="shared" si="73"/>
        <v/>
      </c>
      <c r="AQ328" s="609" t="str">
        <f t="shared" si="73"/>
        <v/>
      </c>
      <c r="AR328" s="609" t="str">
        <f t="shared" si="73"/>
        <v/>
      </c>
      <c r="AS328" s="609" t="str">
        <f t="shared" si="73"/>
        <v/>
      </c>
      <c r="AT328" s="609" t="str">
        <f t="shared" si="73"/>
        <v/>
      </c>
      <c r="AU328" s="609" t="str">
        <f t="shared" si="73"/>
        <v/>
      </c>
      <c r="AV328" s="609" t="str">
        <f t="shared" si="73"/>
        <v/>
      </c>
      <c r="AW328" s="609" t="str">
        <f t="shared" si="73"/>
        <v/>
      </c>
      <c r="AX328" s="609" t="str">
        <f t="shared" si="73"/>
        <v/>
      </c>
      <c r="AY328" s="609" t="str">
        <f t="shared" si="73"/>
        <v/>
      </c>
      <c r="AZ328" s="609" t="str">
        <f t="shared" si="73"/>
        <v/>
      </c>
      <c r="BA328" s="609" t="str">
        <f t="shared" si="73"/>
        <v/>
      </c>
      <c r="BB328" s="609" t="str">
        <f t="shared" si="73"/>
        <v/>
      </c>
      <c r="BC328" s="609" t="str">
        <f t="shared" si="73"/>
        <v/>
      </c>
      <c r="BD328" s="609" t="str">
        <f t="shared" si="71"/>
        <v/>
      </c>
      <c r="BE328" s="609" t="str">
        <f t="shared" si="71"/>
        <v/>
      </c>
      <c r="BF328" s="609" t="str">
        <f t="shared" si="71"/>
        <v/>
      </c>
      <c r="BG328" s="609" t="str">
        <f t="shared" si="71"/>
        <v/>
      </c>
    </row>
    <row r="329" spans="2:59" x14ac:dyDescent="0.25">
      <c r="B329" s="654">
        <v>323</v>
      </c>
      <c r="C329" s="654"/>
      <c r="D329" s="654"/>
      <c r="E329" s="655"/>
      <c r="F329" s="654"/>
      <c r="H329" s="609" t="str">
        <f t="shared" si="72"/>
        <v/>
      </c>
      <c r="I329" s="609" t="str">
        <f t="shared" si="72"/>
        <v/>
      </c>
      <c r="J329" s="609" t="str">
        <f t="shared" si="72"/>
        <v/>
      </c>
      <c r="K329" s="609" t="str">
        <f t="shared" si="72"/>
        <v/>
      </c>
      <c r="L329" s="609" t="str">
        <f t="shared" si="72"/>
        <v/>
      </c>
      <c r="M329" s="609" t="str">
        <f t="shared" si="72"/>
        <v/>
      </c>
      <c r="N329" s="609" t="str">
        <f t="shared" si="72"/>
        <v/>
      </c>
      <c r="O329" s="609" t="str">
        <f t="shared" si="72"/>
        <v/>
      </c>
      <c r="P329" s="609" t="str">
        <f t="shared" si="72"/>
        <v/>
      </c>
      <c r="Q329" s="609" t="str">
        <f t="shared" si="72"/>
        <v/>
      </c>
      <c r="R329" s="609" t="str">
        <f t="shared" si="72"/>
        <v/>
      </c>
      <c r="S329" s="609" t="str">
        <f t="shared" si="72"/>
        <v/>
      </c>
      <c r="T329" s="609" t="str">
        <f t="shared" si="72"/>
        <v/>
      </c>
      <c r="U329" s="609" t="str">
        <f t="shared" si="72"/>
        <v/>
      </c>
      <c r="V329" s="609" t="str">
        <f t="shared" si="72"/>
        <v/>
      </c>
      <c r="W329" s="609" t="str">
        <f t="shared" si="72"/>
        <v/>
      </c>
      <c r="X329" s="609" t="str">
        <f t="shared" si="70"/>
        <v/>
      </c>
      <c r="Y329" s="609" t="str">
        <f t="shared" si="70"/>
        <v/>
      </c>
      <c r="Z329" s="609" t="str">
        <f t="shared" si="70"/>
        <v/>
      </c>
      <c r="AA329" s="609" t="str">
        <f t="shared" si="70"/>
        <v/>
      </c>
      <c r="AB329" s="609" t="str">
        <f t="shared" si="70"/>
        <v/>
      </c>
      <c r="AC329" s="609" t="str">
        <f t="shared" si="70"/>
        <v/>
      </c>
      <c r="AD329" s="609" t="str">
        <f t="shared" si="70"/>
        <v/>
      </c>
      <c r="AE329" s="609" t="str">
        <f t="shared" si="70"/>
        <v/>
      </c>
      <c r="AF329" s="609" t="str">
        <f t="shared" si="70"/>
        <v/>
      </c>
      <c r="AG329" s="609" t="str">
        <f t="shared" si="70"/>
        <v/>
      </c>
      <c r="AH329" s="609" t="str">
        <f t="shared" si="70"/>
        <v/>
      </c>
      <c r="AI329" s="609" t="str">
        <f t="shared" si="70"/>
        <v/>
      </c>
      <c r="AJ329" s="609" t="str">
        <f t="shared" si="70"/>
        <v/>
      </c>
      <c r="AK329" s="609" t="str">
        <f t="shared" si="67"/>
        <v/>
      </c>
      <c r="AL329" s="609" t="str">
        <f t="shared" si="67"/>
        <v/>
      </c>
      <c r="AM329" s="609" t="str">
        <f t="shared" si="67"/>
        <v/>
      </c>
      <c r="AN329" s="609" t="str">
        <f t="shared" si="73"/>
        <v/>
      </c>
      <c r="AO329" s="609" t="str">
        <f t="shared" si="73"/>
        <v/>
      </c>
      <c r="AP329" s="609" t="str">
        <f t="shared" si="73"/>
        <v/>
      </c>
      <c r="AQ329" s="609" t="str">
        <f t="shared" si="73"/>
        <v/>
      </c>
      <c r="AR329" s="609" t="str">
        <f t="shared" si="73"/>
        <v/>
      </c>
      <c r="AS329" s="609" t="str">
        <f t="shared" si="73"/>
        <v/>
      </c>
      <c r="AT329" s="609" t="str">
        <f t="shared" si="73"/>
        <v/>
      </c>
      <c r="AU329" s="609" t="str">
        <f t="shared" si="73"/>
        <v/>
      </c>
      <c r="AV329" s="609" t="str">
        <f t="shared" si="73"/>
        <v/>
      </c>
      <c r="AW329" s="609" t="str">
        <f t="shared" si="73"/>
        <v/>
      </c>
      <c r="AX329" s="609" t="str">
        <f t="shared" si="73"/>
        <v/>
      </c>
      <c r="AY329" s="609" t="str">
        <f t="shared" si="73"/>
        <v/>
      </c>
      <c r="AZ329" s="609" t="str">
        <f t="shared" si="73"/>
        <v/>
      </c>
      <c r="BA329" s="609" t="str">
        <f t="shared" si="73"/>
        <v/>
      </c>
      <c r="BB329" s="609" t="str">
        <f t="shared" si="73"/>
        <v/>
      </c>
      <c r="BC329" s="609" t="str">
        <f t="shared" si="73"/>
        <v/>
      </c>
      <c r="BD329" s="609" t="str">
        <f t="shared" si="71"/>
        <v/>
      </c>
      <c r="BE329" s="609" t="str">
        <f t="shared" si="71"/>
        <v/>
      </c>
      <c r="BF329" s="609" t="str">
        <f t="shared" si="71"/>
        <v/>
      </c>
      <c r="BG329" s="609" t="str">
        <f t="shared" si="71"/>
        <v/>
      </c>
    </row>
    <row r="330" spans="2:59" x14ac:dyDescent="0.25">
      <c r="B330" s="654">
        <v>324</v>
      </c>
      <c r="C330" s="654"/>
      <c r="D330" s="654"/>
      <c r="E330" s="655"/>
      <c r="F330" s="654"/>
      <c r="H330" s="609" t="str">
        <f t="shared" si="72"/>
        <v/>
      </c>
      <c r="I330" s="609" t="str">
        <f t="shared" si="72"/>
        <v/>
      </c>
      <c r="J330" s="609" t="str">
        <f t="shared" si="72"/>
        <v/>
      </c>
      <c r="K330" s="609" t="str">
        <f t="shared" si="72"/>
        <v/>
      </c>
      <c r="L330" s="609" t="str">
        <f t="shared" si="72"/>
        <v/>
      </c>
      <c r="M330" s="609" t="str">
        <f t="shared" si="72"/>
        <v/>
      </c>
      <c r="N330" s="609" t="str">
        <f t="shared" si="72"/>
        <v/>
      </c>
      <c r="O330" s="609" t="str">
        <f t="shared" si="72"/>
        <v/>
      </c>
      <c r="P330" s="609" t="str">
        <f t="shared" si="72"/>
        <v/>
      </c>
      <c r="Q330" s="609" t="str">
        <f t="shared" si="72"/>
        <v/>
      </c>
      <c r="R330" s="609" t="str">
        <f t="shared" si="72"/>
        <v/>
      </c>
      <c r="S330" s="609" t="str">
        <f t="shared" si="72"/>
        <v/>
      </c>
      <c r="T330" s="609" t="str">
        <f t="shared" si="72"/>
        <v/>
      </c>
      <c r="U330" s="609" t="str">
        <f t="shared" si="72"/>
        <v/>
      </c>
      <c r="V330" s="609" t="str">
        <f t="shared" si="72"/>
        <v/>
      </c>
      <c r="W330" s="609" t="str">
        <f t="shared" si="72"/>
        <v/>
      </c>
      <c r="X330" s="609" t="str">
        <f t="shared" si="70"/>
        <v/>
      </c>
      <c r="Y330" s="609" t="str">
        <f t="shared" si="70"/>
        <v/>
      </c>
      <c r="Z330" s="609" t="str">
        <f t="shared" si="70"/>
        <v/>
      </c>
      <c r="AA330" s="609" t="str">
        <f t="shared" si="70"/>
        <v/>
      </c>
      <c r="AB330" s="609" t="str">
        <f t="shared" si="70"/>
        <v/>
      </c>
      <c r="AC330" s="609" t="str">
        <f t="shared" si="70"/>
        <v/>
      </c>
      <c r="AD330" s="609" t="str">
        <f t="shared" si="70"/>
        <v/>
      </c>
      <c r="AE330" s="609" t="str">
        <f t="shared" si="70"/>
        <v/>
      </c>
      <c r="AF330" s="609" t="str">
        <f t="shared" si="70"/>
        <v/>
      </c>
      <c r="AG330" s="609" t="str">
        <f t="shared" si="70"/>
        <v/>
      </c>
      <c r="AH330" s="609" t="str">
        <f t="shared" si="70"/>
        <v/>
      </c>
      <c r="AI330" s="609" t="str">
        <f t="shared" si="70"/>
        <v/>
      </c>
      <c r="AJ330" s="609" t="str">
        <f t="shared" si="70"/>
        <v/>
      </c>
      <c r="AK330" s="609" t="str">
        <f t="shared" ref="AK330:AZ346" si="74">IF($D330=AK$6,$B330&amp;", ","")</f>
        <v/>
      </c>
      <c r="AL330" s="609" t="str">
        <f t="shared" si="74"/>
        <v/>
      </c>
      <c r="AM330" s="609" t="str">
        <f t="shared" si="74"/>
        <v/>
      </c>
      <c r="AN330" s="609" t="str">
        <f t="shared" si="74"/>
        <v/>
      </c>
      <c r="AO330" s="609" t="str">
        <f t="shared" si="74"/>
        <v/>
      </c>
      <c r="AP330" s="609" t="str">
        <f t="shared" si="74"/>
        <v/>
      </c>
      <c r="AQ330" s="609" t="str">
        <f t="shared" si="74"/>
        <v/>
      </c>
      <c r="AR330" s="609" t="str">
        <f t="shared" si="74"/>
        <v/>
      </c>
      <c r="AS330" s="609" t="str">
        <f t="shared" si="74"/>
        <v/>
      </c>
      <c r="AT330" s="609" t="str">
        <f t="shared" si="74"/>
        <v/>
      </c>
      <c r="AU330" s="609" t="str">
        <f t="shared" si="74"/>
        <v/>
      </c>
      <c r="AV330" s="609" t="str">
        <f t="shared" si="74"/>
        <v/>
      </c>
      <c r="AW330" s="609" t="str">
        <f t="shared" si="74"/>
        <v/>
      </c>
      <c r="AX330" s="609" t="str">
        <f t="shared" si="74"/>
        <v/>
      </c>
      <c r="AY330" s="609" t="str">
        <f t="shared" si="74"/>
        <v/>
      </c>
      <c r="AZ330" s="609" t="str">
        <f t="shared" si="74"/>
        <v/>
      </c>
      <c r="BA330" s="609" t="str">
        <f t="shared" si="73"/>
        <v/>
      </c>
      <c r="BB330" s="609" t="str">
        <f t="shared" si="73"/>
        <v/>
      </c>
      <c r="BC330" s="609" t="str">
        <f t="shared" si="73"/>
        <v/>
      </c>
      <c r="BD330" s="609" t="str">
        <f t="shared" si="71"/>
        <v/>
      </c>
      <c r="BE330" s="609" t="str">
        <f t="shared" si="71"/>
        <v/>
      </c>
      <c r="BF330" s="609" t="str">
        <f t="shared" si="71"/>
        <v/>
      </c>
      <c r="BG330" s="609" t="str">
        <f t="shared" si="71"/>
        <v/>
      </c>
    </row>
    <row r="331" spans="2:59" x14ac:dyDescent="0.25">
      <c r="B331" s="654">
        <v>325</v>
      </c>
      <c r="C331" s="654"/>
      <c r="D331" s="654"/>
      <c r="E331" s="655"/>
      <c r="F331" s="654"/>
      <c r="H331" s="609" t="str">
        <f t="shared" si="72"/>
        <v/>
      </c>
      <c r="I331" s="609" t="str">
        <f t="shared" si="72"/>
        <v/>
      </c>
      <c r="J331" s="609" t="str">
        <f t="shared" si="72"/>
        <v/>
      </c>
      <c r="K331" s="609" t="str">
        <f t="shared" si="72"/>
        <v/>
      </c>
      <c r="L331" s="609" t="str">
        <f t="shared" si="72"/>
        <v/>
      </c>
      <c r="M331" s="609" t="str">
        <f t="shared" si="72"/>
        <v/>
      </c>
      <c r="N331" s="609" t="str">
        <f t="shared" si="72"/>
        <v/>
      </c>
      <c r="O331" s="609" t="str">
        <f t="shared" si="72"/>
        <v/>
      </c>
      <c r="P331" s="609" t="str">
        <f t="shared" si="72"/>
        <v/>
      </c>
      <c r="Q331" s="609" t="str">
        <f t="shared" si="72"/>
        <v/>
      </c>
      <c r="R331" s="609" t="str">
        <f t="shared" si="72"/>
        <v/>
      </c>
      <c r="S331" s="609" t="str">
        <f t="shared" si="72"/>
        <v/>
      </c>
      <c r="T331" s="609" t="str">
        <f t="shared" si="72"/>
        <v/>
      </c>
      <c r="U331" s="609" t="str">
        <f t="shared" si="72"/>
        <v/>
      </c>
      <c r="V331" s="609" t="str">
        <f t="shared" si="72"/>
        <v/>
      </c>
      <c r="W331" s="609" t="str">
        <f t="shared" si="72"/>
        <v/>
      </c>
      <c r="X331" s="609" t="str">
        <f t="shared" si="70"/>
        <v/>
      </c>
      <c r="Y331" s="609" t="str">
        <f t="shared" si="70"/>
        <v/>
      </c>
      <c r="Z331" s="609" t="str">
        <f t="shared" si="70"/>
        <v/>
      </c>
      <c r="AA331" s="609" t="str">
        <f t="shared" si="70"/>
        <v/>
      </c>
      <c r="AB331" s="609" t="str">
        <f t="shared" si="70"/>
        <v/>
      </c>
      <c r="AC331" s="609" t="str">
        <f t="shared" si="70"/>
        <v/>
      </c>
      <c r="AD331" s="609" t="str">
        <f t="shared" si="70"/>
        <v/>
      </c>
      <c r="AE331" s="609" t="str">
        <f t="shared" si="70"/>
        <v/>
      </c>
      <c r="AF331" s="609" t="str">
        <f t="shared" si="70"/>
        <v/>
      </c>
      <c r="AG331" s="609" t="str">
        <f t="shared" si="70"/>
        <v/>
      </c>
      <c r="AH331" s="609" t="str">
        <f t="shared" si="70"/>
        <v/>
      </c>
      <c r="AI331" s="609" t="str">
        <f t="shared" si="70"/>
        <v/>
      </c>
      <c r="AJ331" s="609" t="str">
        <f t="shared" si="70"/>
        <v/>
      </c>
      <c r="AK331" s="609" t="str">
        <f t="shared" si="74"/>
        <v/>
      </c>
      <c r="AL331" s="609" t="str">
        <f t="shared" si="74"/>
        <v/>
      </c>
      <c r="AM331" s="609" t="str">
        <f t="shared" si="74"/>
        <v/>
      </c>
      <c r="AN331" s="609" t="str">
        <f t="shared" si="74"/>
        <v/>
      </c>
      <c r="AO331" s="609" t="str">
        <f t="shared" si="74"/>
        <v/>
      </c>
      <c r="AP331" s="609" t="str">
        <f t="shared" si="74"/>
        <v/>
      </c>
      <c r="AQ331" s="609" t="str">
        <f t="shared" si="74"/>
        <v/>
      </c>
      <c r="AR331" s="609" t="str">
        <f t="shared" si="74"/>
        <v/>
      </c>
      <c r="AS331" s="609" t="str">
        <f t="shared" si="74"/>
        <v/>
      </c>
      <c r="AT331" s="609" t="str">
        <f t="shared" si="74"/>
        <v/>
      </c>
      <c r="AU331" s="609" t="str">
        <f t="shared" si="74"/>
        <v/>
      </c>
      <c r="AV331" s="609" t="str">
        <f t="shared" si="74"/>
        <v/>
      </c>
      <c r="AW331" s="609" t="str">
        <f t="shared" si="74"/>
        <v/>
      </c>
      <c r="AX331" s="609" t="str">
        <f t="shared" si="74"/>
        <v/>
      </c>
      <c r="AY331" s="609" t="str">
        <f t="shared" si="74"/>
        <v/>
      </c>
      <c r="AZ331" s="609" t="str">
        <f t="shared" si="74"/>
        <v/>
      </c>
      <c r="BA331" s="609" t="str">
        <f t="shared" si="73"/>
        <v/>
      </c>
      <c r="BB331" s="609" t="str">
        <f t="shared" si="73"/>
        <v/>
      </c>
      <c r="BC331" s="609" t="str">
        <f t="shared" si="73"/>
        <v/>
      </c>
      <c r="BD331" s="609" t="str">
        <f t="shared" si="71"/>
        <v/>
      </c>
      <c r="BE331" s="609" t="str">
        <f t="shared" si="71"/>
        <v/>
      </c>
      <c r="BF331" s="609" t="str">
        <f t="shared" si="71"/>
        <v/>
      </c>
      <c r="BG331" s="609" t="str">
        <f t="shared" si="71"/>
        <v/>
      </c>
    </row>
    <row r="332" spans="2:59" x14ac:dyDescent="0.25">
      <c r="B332" s="654">
        <v>326</v>
      </c>
      <c r="C332" s="654"/>
      <c r="D332" s="654"/>
      <c r="E332" s="655"/>
      <c r="F332" s="654"/>
      <c r="H332" s="609" t="str">
        <f t="shared" si="72"/>
        <v/>
      </c>
      <c r="I332" s="609" t="str">
        <f t="shared" si="72"/>
        <v/>
      </c>
      <c r="J332" s="609" t="str">
        <f t="shared" si="72"/>
        <v/>
      </c>
      <c r="K332" s="609" t="str">
        <f t="shared" si="72"/>
        <v/>
      </c>
      <c r="L332" s="609" t="str">
        <f t="shared" si="72"/>
        <v/>
      </c>
      <c r="M332" s="609" t="str">
        <f t="shared" si="72"/>
        <v/>
      </c>
      <c r="N332" s="609" t="str">
        <f t="shared" si="72"/>
        <v/>
      </c>
      <c r="O332" s="609" t="str">
        <f t="shared" si="72"/>
        <v/>
      </c>
      <c r="P332" s="609" t="str">
        <f t="shared" si="72"/>
        <v/>
      </c>
      <c r="Q332" s="609" t="str">
        <f t="shared" si="72"/>
        <v/>
      </c>
      <c r="R332" s="609" t="str">
        <f t="shared" si="72"/>
        <v/>
      </c>
      <c r="S332" s="609" t="str">
        <f t="shared" si="72"/>
        <v/>
      </c>
      <c r="T332" s="609" t="str">
        <f t="shared" si="72"/>
        <v/>
      </c>
      <c r="U332" s="609" t="str">
        <f t="shared" si="72"/>
        <v/>
      </c>
      <c r="V332" s="609" t="str">
        <f t="shared" si="72"/>
        <v/>
      </c>
      <c r="W332" s="609" t="str">
        <f t="shared" si="72"/>
        <v/>
      </c>
      <c r="X332" s="609" t="str">
        <f t="shared" si="70"/>
        <v/>
      </c>
      <c r="Y332" s="609" t="str">
        <f t="shared" si="70"/>
        <v/>
      </c>
      <c r="Z332" s="609" t="str">
        <f t="shared" si="70"/>
        <v/>
      </c>
      <c r="AA332" s="609" t="str">
        <f t="shared" si="70"/>
        <v/>
      </c>
      <c r="AB332" s="609" t="str">
        <f t="shared" si="70"/>
        <v/>
      </c>
      <c r="AC332" s="609" t="str">
        <f t="shared" si="70"/>
        <v/>
      </c>
      <c r="AD332" s="609" t="str">
        <f t="shared" si="70"/>
        <v/>
      </c>
      <c r="AE332" s="609" t="str">
        <f t="shared" si="70"/>
        <v/>
      </c>
      <c r="AF332" s="609" t="str">
        <f t="shared" si="70"/>
        <v/>
      </c>
      <c r="AG332" s="609" t="str">
        <f t="shared" si="70"/>
        <v/>
      </c>
      <c r="AH332" s="609" t="str">
        <f t="shared" si="70"/>
        <v/>
      </c>
      <c r="AI332" s="609" t="str">
        <f t="shared" si="70"/>
        <v/>
      </c>
      <c r="AJ332" s="609" t="str">
        <f t="shared" si="70"/>
        <v/>
      </c>
      <c r="AK332" s="609" t="str">
        <f t="shared" si="74"/>
        <v/>
      </c>
      <c r="AL332" s="609" t="str">
        <f t="shared" si="74"/>
        <v/>
      </c>
      <c r="AM332" s="609" t="str">
        <f t="shared" si="74"/>
        <v/>
      </c>
      <c r="AN332" s="609" t="str">
        <f t="shared" si="74"/>
        <v/>
      </c>
      <c r="AO332" s="609" t="str">
        <f t="shared" si="74"/>
        <v/>
      </c>
      <c r="AP332" s="609" t="str">
        <f t="shared" si="74"/>
        <v/>
      </c>
      <c r="AQ332" s="609" t="str">
        <f t="shared" si="74"/>
        <v/>
      </c>
      <c r="AR332" s="609" t="str">
        <f t="shared" si="74"/>
        <v/>
      </c>
      <c r="AS332" s="609" t="str">
        <f t="shared" si="74"/>
        <v/>
      </c>
      <c r="AT332" s="609" t="str">
        <f t="shared" si="74"/>
        <v/>
      </c>
      <c r="AU332" s="609" t="str">
        <f t="shared" si="74"/>
        <v/>
      </c>
      <c r="AV332" s="609" t="str">
        <f t="shared" si="74"/>
        <v/>
      </c>
      <c r="AW332" s="609" t="str">
        <f t="shared" si="74"/>
        <v/>
      </c>
      <c r="AX332" s="609" t="str">
        <f t="shared" si="74"/>
        <v/>
      </c>
      <c r="AY332" s="609" t="str">
        <f t="shared" si="74"/>
        <v/>
      </c>
      <c r="AZ332" s="609" t="str">
        <f t="shared" si="74"/>
        <v/>
      </c>
      <c r="BA332" s="609" t="str">
        <f t="shared" si="73"/>
        <v/>
      </c>
      <c r="BB332" s="609" t="str">
        <f t="shared" si="73"/>
        <v/>
      </c>
      <c r="BC332" s="609" t="str">
        <f t="shared" si="73"/>
        <v/>
      </c>
      <c r="BD332" s="609" t="str">
        <f t="shared" si="71"/>
        <v/>
      </c>
      <c r="BE332" s="609" t="str">
        <f t="shared" si="71"/>
        <v/>
      </c>
      <c r="BF332" s="609" t="str">
        <f t="shared" si="71"/>
        <v/>
      </c>
      <c r="BG332" s="609" t="str">
        <f t="shared" si="71"/>
        <v/>
      </c>
    </row>
    <row r="333" spans="2:59" x14ac:dyDescent="0.25">
      <c r="B333" s="654">
        <v>327</v>
      </c>
      <c r="C333" s="654"/>
      <c r="D333" s="654"/>
      <c r="E333" s="655"/>
      <c r="F333" s="654"/>
      <c r="H333" s="609" t="str">
        <f t="shared" si="72"/>
        <v/>
      </c>
      <c r="I333" s="609" t="str">
        <f t="shared" si="72"/>
        <v/>
      </c>
      <c r="J333" s="609" t="str">
        <f t="shared" si="72"/>
        <v/>
      </c>
      <c r="K333" s="609" t="str">
        <f t="shared" si="72"/>
        <v/>
      </c>
      <c r="L333" s="609" t="str">
        <f t="shared" si="72"/>
        <v/>
      </c>
      <c r="M333" s="609" t="str">
        <f t="shared" si="72"/>
        <v/>
      </c>
      <c r="N333" s="609" t="str">
        <f t="shared" si="72"/>
        <v/>
      </c>
      <c r="O333" s="609" t="str">
        <f t="shared" si="72"/>
        <v/>
      </c>
      <c r="P333" s="609" t="str">
        <f t="shared" si="72"/>
        <v/>
      </c>
      <c r="Q333" s="609" t="str">
        <f t="shared" si="72"/>
        <v/>
      </c>
      <c r="R333" s="609" t="str">
        <f t="shared" si="72"/>
        <v/>
      </c>
      <c r="S333" s="609" t="str">
        <f t="shared" si="72"/>
        <v/>
      </c>
      <c r="T333" s="609" t="str">
        <f t="shared" si="72"/>
        <v/>
      </c>
      <c r="U333" s="609" t="str">
        <f t="shared" si="72"/>
        <v/>
      </c>
      <c r="V333" s="609" t="str">
        <f t="shared" si="72"/>
        <v/>
      </c>
      <c r="W333" s="609" t="str">
        <f t="shared" si="72"/>
        <v/>
      </c>
      <c r="X333" s="609" t="str">
        <f t="shared" si="70"/>
        <v/>
      </c>
      <c r="Y333" s="609" t="str">
        <f t="shared" si="70"/>
        <v/>
      </c>
      <c r="Z333" s="609" t="str">
        <f t="shared" si="70"/>
        <v/>
      </c>
      <c r="AA333" s="609" t="str">
        <f t="shared" si="70"/>
        <v/>
      </c>
      <c r="AB333" s="609" t="str">
        <f t="shared" si="70"/>
        <v/>
      </c>
      <c r="AC333" s="609" t="str">
        <f t="shared" si="70"/>
        <v/>
      </c>
      <c r="AD333" s="609" t="str">
        <f t="shared" si="70"/>
        <v/>
      </c>
      <c r="AE333" s="609" t="str">
        <f t="shared" si="70"/>
        <v/>
      </c>
      <c r="AF333" s="609" t="str">
        <f t="shared" si="70"/>
        <v/>
      </c>
      <c r="AG333" s="609" t="str">
        <f t="shared" si="70"/>
        <v/>
      </c>
      <c r="AH333" s="609" t="str">
        <f t="shared" si="70"/>
        <v/>
      </c>
      <c r="AI333" s="609" t="str">
        <f t="shared" si="70"/>
        <v/>
      </c>
      <c r="AJ333" s="609" t="str">
        <f t="shared" si="70"/>
        <v/>
      </c>
      <c r="AK333" s="609" t="str">
        <f t="shared" si="74"/>
        <v/>
      </c>
      <c r="AL333" s="609" t="str">
        <f t="shared" si="74"/>
        <v/>
      </c>
      <c r="AM333" s="609" t="str">
        <f t="shared" si="74"/>
        <v/>
      </c>
      <c r="AN333" s="609" t="str">
        <f t="shared" si="74"/>
        <v/>
      </c>
      <c r="AO333" s="609" t="str">
        <f t="shared" si="74"/>
        <v/>
      </c>
      <c r="AP333" s="609" t="str">
        <f t="shared" si="74"/>
        <v/>
      </c>
      <c r="AQ333" s="609" t="str">
        <f t="shared" si="74"/>
        <v/>
      </c>
      <c r="AR333" s="609" t="str">
        <f t="shared" si="74"/>
        <v/>
      </c>
      <c r="AS333" s="609" t="str">
        <f t="shared" si="74"/>
        <v/>
      </c>
      <c r="AT333" s="609" t="str">
        <f t="shared" si="74"/>
        <v/>
      </c>
      <c r="AU333" s="609" t="str">
        <f t="shared" si="74"/>
        <v/>
      </c>
      <c r="AV333" s="609" t="str">
        <f t="shared" si="74"/>
        <v/>
      </c>
      <c r="AW333" s="609" t="str">
        <f t="shared" si="74"/>
        <v/>
      </c>
      <c r="AX333" s="609" t="str">
        <f t="shared" si="74"/>
        <v/>
      </c>
      <c r="AY333" s="609" t="str">
        <f t="shared" si="74"/>
        <v/>
      </c>
      <c r="AZ333" s="609" t="str">
        <f t="shared" si="74"/>
        <v/>
      </c>
      <c r="BA333" s="609" t="str">
        <f t="shared" si="73"/>
        <v/>
      </c>
      <c r="BB333" s="609" t="str">
        <f t="shared" si="73"/>
        <v/>
      </c>
      <c r="BC333" s="609" t="str">
        <f t="shared" si="73"/>
        <v/>
      </c>
      <c r="BD333" s="609" t="str">
        <f t="shared" si="71"/>
        <v/>
      </c>
      <c r="BE333" s="609" t="str">
        <f t="shared" si="71"/>
        <v/>
      </c>
      <c r="BF333" s="609" t="str">
        <f t="shared" si="71"/>
        <v/>
      </c>
      <c r="BG333" s="609" t="str">
        <f t="shared" si="71"/>
        <v/>
      </c>
    </row>
    <row r="334" spans="2:59" x14ac:dyDescent="0.25">
      <c r="B334" s="654">
        <v>328</v>
      </c>
      <c r="C334" s="654"/>
      <c r="D334" s="654"/>
      <c r="E334" s="655"/>
      <c r="F334" s="654"/>
      <c r="H334" s="609" t="str">
        <f t="shared" si="72"/>
        <v/>
      </c>
      <c r="I334" s="609" t="str">
        <f t="shared" si="72"/>
        <v/>
      </c>
      <c r="J334" s="609" t="str">
        <f t="shared" si="72"/>
        <v/>
      </c>
      <c r="K334" s="609" t="str">
        <f t="shared" si="72"/>
        <v/>
      </c>
      <c r="L334" s="609" t="str">
        <f t="shared" si="72"/>
        <v/>
      </c>
      <c r="M334" s="609" t="str">
        <f t="shared" si="72"/>
        <v/>
      </c>
      <c r="N334" s="609" t="str">
        <f t="shared" si="72"/>
        <v/>
      </c>
      <c r="O334" s="609" t="str">
        <f t="shared" si="72"/>
        <v/>
      </c>
      <c r="P334" s="609" t="str">
        <f t="shared" si="72"/>
        <v/>
      </c>
      <c r="Q334" s="609" t="str">
        <f t="shared" si="72"/>
        <v/>
      </c>
      <c r="R334" s="609" t="str">
        <f t="shared" si="72"/>
        <v/>
      </c>
      <c r="S334" s="609" t="str">
        <f t="shared" si="72"/>
        <v/>
      </c>
      <c r="T334" s="609" t="str">
        <f t="shared" si="72"/>
        <v/>
      </c>
      <c r="U334" s="609" t="str">
        <f t="shared" si="72"/>
        <v/>
      </c>
      <c r="V334" s="609" t="str">
        <f t="shared" si="72"/>
        <v/>
      </c>
      <c r="W334" s="609" t="str">
        <f t="shared" si="72"/>
        <v/>
      </c>
      <c r="X334" s="609" t="str">
        <f t="shared" si="70"/>
        <v/>
      </c>
      <c r="Y334" s="609" t="str">
        <f t="shared" si="70"/>
        <v/>
      </c>
      <c r="Z334" s="609" t="str">
        <f t="shared" si="70"/>
        <v/>
      </c>
      <c r="AA334" s="609" t="str">
        <f t="shared" si="70"/>
        <v/>
      </c>
      <c r="AB334" s="609" t="str">
        <f t="shared" si="70"/>
        <v/>
      </c>
      <c r="AC334" s="609" t="str">
        <f t="shared" si="70"/>
        <v/>
      </c>
      <c r="AD334" s="609" t="str">
        <f t="shared" si="70"/>
        <v/>
      </c>
      <c r="AE334" s="609" t="str">
        <f t="shared" si="70"/>
        <v/>
      </c>
      <c r="AF334" s="609" t="str">
        <f t="shared" si="70"/>
        <v/>
      </c>
      <c r="AG334" s="609" t="str">
        <f t="shared" si="70"/>
        <v/>
      </c>
      <c r="AH334" s="609" t="str">
        <f t="shared" si="70"/>
        <v/>
      </c>
      <c r="AI334" s="609" t="str">
        <f t="shared" si="70"/>
        <v/>
      </c>
      <c r="AJ334" s="609" t="str">
        <f t="shared" si="70"/>
        <v/>
      </c>
      <c r="AK334" s="609" t="str">
        <f t="shared" si="74"/>
        <v/>
      </c>
      <c r="AL334" s="609" t="str">
        <f t="shared" si="74"/>
        <v/>
      </c>
      <c r="AM334" s="609" t="str">
        <f t="shared" si="74"/>
        <v/>
      </c>
      <c r="AN334" s="609" t="str">
        <f t="shared" si="74"/>
        <v/>
      </c>
      <c r="AO334" s="609" t="str">
        <f t="shared" si="74"/>
        <v/>
      </c>
      <c r="AP334" s="609" t="str">
        <f t="shared" si="74"/>
        <v/>
      </c>
      <c r="AQ334" s="609" t="str">
        <f t="shared" si="74"/>
        <v/>
      </c>
      <c r="AR334" s="609" t="str">
        <f t="shared" si="74"/>
        <v/>
      </c>
      <c r="AS334" s="609" t="str">
        <f t="shared" si="74"/>
        <v/>
      </c>
      <c r="AT334" s="609" t="str">
        <f t="shared" si="74"/>
        <v/>
      </c>
      <c r="AU334" s="609" t="str">
        <f t="shared" si="74"/>
        <v/>
      </c>
      <c r="AV334" s="609" t="str">
        <f t="shared" si="74"/>
        <v/>
      </c>
      <c r="AW334" s="609" t="str">
        <f t="shared" si="74"/>
        <v/>
      </c>
      <c r="AX334" s="609" t="str">
        <f t="shared" si="74"/>
        <v/>
      </c>
      <c r="AY334" s="609" t="str">
        <f t="shared" si="74"/>
        <v/>
      </c>
      <c r="AZ334" s="609" t="str">
        <f t="shared" si="74"/>
        <v/>
      </c>
      <c r="BA334" s="609" t="str">
        <f t="shared" si="73"/>
        <v/>
      </c>
      <c r="BB334" s="609" t="str">
        <f t="shared" si="73"/>
        <v/>
      </c>
      <c r="BC334" s="609" t="str">
        <f t="shared" si="73"/>
        <v/>
      </c>
      <c r="BD334" s="609" t="str">
        <f t="shared" si="71"/>
        <v/>
      </c>
      <c r="BE334" s="609" t="str">
        <f t="shared" si="71"/>
        <v/>
      </c>
      <c r="BF334" s="609" t="str">
        <f t="shared" si="71"/>
        <v/>
      </c>
      <c r="BG334" s="609" t="str">
        <f t="shared" si="71"/>
        <v/>
      </c>
    </row>
    <row r="335" spans="2:59" x14ac:dyDescent="0.25">
      <c r="B335" s="654">
        <v>329</v>
      </c>
      <c r="C335" s="654"/>
      <c r="D335" s="654"/>
      <c r="E335" s="655"/>
      <c r="F335" s="654"/>
      <c r="H335" s="609" t="str">
        <f t="shared" si="72"/>
        <v/>
      </c>
      <c r="I335" s="609" t="str">
        <f t="shared" si="72"/>
        <v/>
      </c>
      <c r="J335" s="609" t="str">
        <f t="shared" si="72"/>
        <v/>
      </c>
      <c r="K335" s="609" t="str">
        <f t="shared" si="72"/>
        <v/>
      </c>
      <c r="L335" s="609" t="str">
        <f t="shared" si="72"/>
        <v/>
      </c>
      <c r="M335" s="609" t="str">
        <f t="shared" si="72"/>
        <v/>
      </c>
      <c r="N335" s="609" t="str">
        <f t="shared" si="72"/>
        <v/>
      </c>
      <c r="O335" s="609" t="str">
        <f t="shared" si="72"/>
        <v/>
      </c>
      <c r="P335" s="609" t="str">
        <f t="shared" si="72"/>
        <v/>
      </c>
      <c r="Q335" s="609" t="str">
        <f t="shared" si="72"/>
        <v/>
      </c>
      <c r="R335" s="609" t="str">
        <f t="shared" si="72"/>
        <v/>
      </c>
      <c r="S335" s="609" t="str">
        <f t="shared" si="72"/>
        <v/>
      </c>
      <c r="T335" s="609" t="str">
        <f t="shared" si="72"/>
        <v/>
      </c>
      <c r="U335" s="609" t="str">
        <f t="shared" si="72"/>
        <v/>
      </c>
      <c r="V335" s="609" t="str">
        <f t="shared" si="72"/>
        <v/>
      </c>
      <c r="W335" s="609" t="str">
        <f t="shared" si="72"/>
        <v/>
      </c>
      <c r="X335" s="609" t="str">
        <f t="shared" si="70"/>
        <v/>
      </c>
      <c r="Y335" s="609" t="str">
        <f t="shared" si="70"/>
        <v/>
      </c>
      <c r="Z335" s="609" t="str">
        <f t="shared" si="70"/>
        <v/>
      </c>
      <c r="AA335" s="609" t="str">
        <f t="shared" si="70"/>
        <v/>
      </c>
      <c r="AB335" s="609" t="str">
        <f t="shared" si="70"/>
        <v/>
      </c>
      <c r="AC335" s="609" t="str">
        <f t="shared" si="70"/>
        <v/>
      </c>
      <c r="AD335" s="609" t="str">
        <f t="shared" si="70"/>
        <v/>
      </c>
      <c r="AE335" s="609" t="str">
        <f t="shared" si="70"/>
        <v/>
      </c>
      <c r="AF335" s="609" t="str">
        <f t="shared" si="70"/>
        <v/>
      </c>
      <c r="AG335" s="609" t="str">
        <f t="shared" si="70"/>
        <v/>
      </c>
      <c r="AH335" s="609" t="str">
        <f t="shared" si="70"/>
        <v/>
      </c>
      <c r="AI335" s="609" t="str">
        <f t="shared" si="70"/>
        <v/>
      </c>
      <c r="AJ335" s="609" t="str">
        <f t="shared" si="70"/>
        <v/>
      </c>
      <c r="AK335" s="609" t="str">
        <f t="shared" si="74"/>
        <v/>
      </c>
      <c r="AL335" s="609" t="str">
        <f t="shared" si="74"/>
        <v/>
      </c>
      <c r="AM335" s="609" t="str">
        <f t="shared" si="74"/>
        <v/>
      </c>
      <c r="AN335" s="609" t="str">
        <f t="shared" si="74"/>
        <v/>
      </c>
      <c r="AO335" s="609" t="str">
        <f t="shared" si="74"/>
        <v/>
      </c>
      <c r="AP335" s="609" t="str">
        <f t="shared" si="74"/>
        <v/>
      </c>
      <c r="AQ335" s="609" t="str">
        <f t="shared" si="74"/>
        <v/>
      </c>
      <c r="AR335" s="609" t="str">
        <f t="shared" si="74"/>
        <v/>
      </c>
      <c r="AS335" s="609" t="str">
        <f t="shared" si="74"/>
        <v/>
      </c>
      <c r="AT335" s="609" t="str">
        <f t="shared" si="74"/>
        <v/>
      </c>
      <c r="AU335" s="609" t="str">
        <f t="shared" si="74"/>
        <v/>
      </c>
      <c r="AV335" s="609" t="str">
        <f t="shared" si="74"/>
        <v/>
      </c>
      <c r="AW335" s="609" t="str">
        <f t="shared" si="74"/>
        <v/>
      </c>
      <c r="AX335" s="609" t="str">
        <f t="shared" si="74"/>
        <v/>
      </c>
      <c r="AY335" s="609" t="str">
        <f t="shared" si="74"/>
        <v/>
      </c>
      <c r="AZ335" s="609" t="str">
        <f t="shared" si="74"/>
        <v/>
      </c>
      <c r="BA335" s="609" t="str">
        <f t="shared" si="73"/>
        <v/>
      </c>
      <c r="BB335" s="609" t="str">
        <f t="shared" si="73"/>
        <v/>
      </c>
      <c r="BC335" s="609" t="str">
        <f t="shared" si="73"/>
        <v/>
      </c>
      <c r="BD335" s="609" t="str">
        <f t="shared" si="71"/>
        <v/>
      </c>
      <c r="BE335" s="609" t="str">
        <f t="shared" si="71"/>
        <v/>
      </c>
      <c r="BF335" s="609" t="str">
        <f t="shared" si="71"/>
        <v/>
      </c>
      <c r="BG335" s="609" t="str">
        <f t="shared" si="71"/>
        <v/>
      </c>
    </row>
    <row r="336" spans="2:59" x14ac:dyDescent="0.25">
      <c r="B336" s="654">
        <v>330</v>
      </c>
      <c r="C336" s="654"/>
      <c r="D336" s="654"/>
      <c r="E336" s="655"/>
      <c r="F336" s="654"/>
      <c r="H336" s="609" t="str">
        <f t="shared" si="72"/>
        <v/>
      </c>
      <c r="I336" s="609" t="str">
        <f t="shared" si="72"/>
        <v/>
      </c>
      <c r="J336" s="609" t="str">
        <f t="shared" si="72"/>
        <v/>
      </c>
      <c r="K336" s="609" t="str">
        <f t="shared" si="72"/>
        <v/>
      </c>
      <c r="L336" s="609" t="str">
        <f t="shared" si="72"/>
        <v/>
      </c>
      <c r="M336" s="609" t="str">
        <f t="shared" si="72"/>
        <v/>
      </c>
      <c r="N336" s="609" t="str">
        <f t="shared" si="72"/>
        <v/>
      </c>
      <c r="O336" s="609" t="str">
        <f t="shared" si="72"/>
        <v/>
      </c>
      <c r="P336" s="609" t="str">
        <f t="shared" si="72"/>
        <v/>
      </c>
      <c r="Q336" s="609" t="str">
        <f t="shared" si="72"/>
        <v/>
      </c>
      <c r="R336" s="609" t="str">
        <f t="shared" si="72"/>
        <v/>
      </c>
      <c r="S336" s="609" t="str">
        <f t="shared" si="72"/>
        <v/>
      </c>
      <c r="T336" s="609" t="str">
        <f t="shared" si="72"/>
        <v/>
      </c>
      <c r="U336" s="609" t="str">
        <f t="shared" si="72"/>
        <v/>
      </c>
      <c r="V336" s="609" t="str">
        <f t="shared" si="72"/>
        <v/>
      </c>
      <c r="W336" s="609" t="str">
        <f t="shared" si="72"/>
        <v/>
      </c>
      <c r="X336" s="609" t="str">
        <f t="shared" si="70"/>
        <v/>
      </c>
      <c r="Y336" s="609" t="str">
        <f t="shared" si="70"/>
        <v/>
      </c>
      <c r="Z336" s="609" t="str">
        <f t="shared" si="70"/>
        <v/>
      </c>
      <c r="AA336" s="609" t="str">
        <f t="shared" si="70"/>
        <v/>
      </c>
      <c r="AB336" s="609" t="str">
        <f t="shared" si="70"/>
        <v/>
      </c>
      <c r="AC336" s="609" t="str">
        <f t="shared" si="70"/>
        <v/>
      </c>
      <c r="AD336" s="609" t="str">
        <f t="shared" si="70"/>
        <v/>
      </c>
      <c r="AE336" s="609" t="str">
        <f t="shared" si="70"/>
        <v/>
      </c>
      <c r="AF336" s="609" t="str">
        <f t="shared" si="70"/>
        <v/>
      </c>
      <c r="AG336" s="609" t="str">
        <f t="shared" si="70"/>
        <v/>
      </c>
      <c r="AH336" s="609" t="str">
        <f t="shared" si="70"/>
        <v/>
      </c>
      <c r="AI336" s="609" t="str">
        <f t="shared" si="70"/>
        <v/>
      </c>
      <c r="AJ336" s="609" t="str">
        <f t="shared" si="70"/>
        <v/>
      </c>
      <c r="AK336" s="609" t="str">
        <f t="shared" si="74"/>
        <v/>
      </c>
      <c r="AL336" s="609" t="str">
        <f t="shared" si="74"/>
        <v/>
      </c>
      <c r="AM336" s="609" t="str">
        <f t="shared" si="74"/>
        <v/>
      </c>
      <c r="AN336" s="609" t="str">
        <f t="shared" si="74"/>
        <v/>
      </c>
      <c r="AO336" s="609" t="str">
        <f t="shared" si="74"/>
        <v/>
      </c>
      <c r="AP336" s="609" t="str">
        <f t="shared" si="74"/>
        <v/>
      </c>
      <c r="AQ336" s="609" t="str">
        <f t="shared" si="74"/>
        <v/>
      </c>
      <c r="AR336" s="609" t="str">
        <f t="shared" si="74"/>
        <v/>
      </c>
      <c r="AS336" s="609" t="str">
        <f t="shared" si="74"/>
        <v/>
      </c>
      <c r="AT336" s="609" t="str">
        <f t="shared" si="74"/>
        <v/>
      </c>
      <c r="AU336" s="609" t="str">
        <f t="shared" si="74"/>
        <v/>
      </c>
      <c r="AV336" s="609" t="str">
        <f t="shared" si="74"/>
        <v/>
      </c>
      <c r="AW336" s="609" t="str">
        <f t="shared" si="74"/>
        <v/>
      </c>
      <c r="AX336" s="609" t="str">
        <f t="shared" si="74"/>
        <v/>
      </c>
      <c r="AY336" s="609" t="str">
        <f t="shared" si="74"/>
        <v/>
      </c>
      <c r="AZ336" s="609" t="str">
        <f t="shared" si="74"/>
        <v/>
      </c>
      <c r="BA336" s="609" t="str">
        <f t="shared" si="73"/>
        <v/>
      </c>
      <c r="BB336" s="609" t="str">
        <f t="shared" si="73"/>
        <v/>
      </c>
      <c r="BC336" s="609" t="str">
        <f t="shared" si="73"/>
        <v/>
      </c>
      <c r="BD336" s="609" t="str">
        <f t="shared" si="71"/>
        <v/>
      </c>
      <c r="BE336" s="609" t="str">
        <f t="shared" si="71"/>
        <v/>
      </c>
      <c r="BF336" s="609" t="str">
        <f t="shared" si="71"/>
        <v/>
      </c>
      <c r="BG336" s="609" t="str">
        <f t="shared" si="71"/>
        <v/>
      </c>
    </row>
    <row r="337" spans="2:59" x14ac:dyDescent="0.25">
      <c r="B337" s="654">
        <v>331</v>
      </c>
      <c r="C337" s="654"/>
      <c r="D337" s="654"/>
      <c r="E337" s="655"/>
      <c r="F337" s="654"/>
      <c r="H337" s="609" t="str">
        <f t="shared" si="72"/>
        <v/>
      </c>
      <c r="I337" s="609" t="str">
        <f t="shared" si="72"/>
        <v/>
      </c>
      <c r="J337" s="609" t="str">
        <f t="shared" si="72"/>
        <v/>
      </c>
      <c r="K337" s="609" t="str">
        <f t="shared" si="72"/>
        <v/>
      </c>
      <c r="L337" s="609" t="str">
        <f t="shared" si="72"/>
        <v/>
      </c>
      <c r="M337" s="609" t="str">
        <f t="shared" si="72"/>
        <v/>
      </c>
      <c r="N337" s="609" t="str">
        <f t="shared" si="72"/>
        <v/>
      </c>
      <c r="O337" s="609" t="str">
        <f t="shared" si="72"/>
        <v/>
      </c>
      <c r="P337" s="609" t="str">
        <f t="shared" si="72"/>
        <v/>
      </c>
      <c r="Q337" s="609" t="str">
        <f t="shared" si="72"/>
        <v/>
      </c>
      <c r="R337" s="609" t="str">
        <f t="shared" si="72"/>
        <v/>
      </c>
      <c r="S337" s="609" t="str">
        <f t="shared" si="72"/>
        <v/>
      </c>
      <c r="T337" s="609" t="str">
        <f t="shared" si="72"/>
        <v/>
      </c>
      <c r="U337" s="609" t="str">
        <f t="shared" si="72"/>
        <v/>
      </c>
      <c r="V337" s="609" t="str">
        <f t="shared" si="72"/>
        <v/>
      </c>
      <c r="W337" s="609" t="str">
        <f t="shared" si="72"/>
        <v/>
      </c>
      <c r="X337" s="609" t="str">
        <f t="shared" si="70"/>
        <v/>
      </c>
      <c r="Y337" s="609" t="str">
        <f t="shared" si="70"/>
        <v/>
      </c>
      <c r="Z337" s="609" t="str">
        <f t="shared" si="70"/>
        <v/>
      </c>
      <c r="AA337" s="609" t="str">
        <f t="shared" si="70"/>
        <v/>
      </c>
      <c r="AB337" s="609" t="str">
        <f t="shared" si="70"/>
        <v/>
      </c>
      <c r="AC337" s="609" t="str">
        <f t="shared" si="70"/>
        <v/>
      </c>
      <c r="AD337" s="609" t="str">
        <f t="shared" si="70"/>
        <v/>
      </c>
      <c r="AE337" s="609" t="str">
        <f t="shared" si="70"/>
        <v/>
      </c>
      <c r="AF337" s="609" t="str">
        <f t="shared" si="70"/>
        <v/>
      </c>
      <c r="AG337" s="609" t="str">
        <f t="shared" si="70"/>
        <v/>
      </c>
      <c r="AH337" s="609" t="str">
        <f t="shared" si="70"/>
        <v/>
      </c>
      <c r="AI337" s="609" t="str">
        <f t="shared" si="70"/>
        <v/>
      </c>
      <c r="AJ337" s="609" t="str">
        <f t="shared" si="70"/>
        <v/>
      </c>
      <c r="AK337" s="609" t="str">
        <f t="shared" si="74"/>
        <v/>
      </c>
      <c r="AL337" s="609" t="str">
        <f t="shared" si="74"/>
        <v/>
      </c>
      <c r="AM337" s="609" t="str">
        <f t="shared" si="74"/>
        <v/>
      </c>
      <c r="AN337" s="609" t="str">
        <f t="shared" si="74"/>
        <v/>
      </c>
      <c r="AO337" s="609" t="str">
        <f t="shared" si="74"/>
        <v/>
      </c>
      <c r="AP337" s="609" t="str">
        <f t="shared" si="74"/>
        <v/>
      </c>
      <c r="AQ337" s="609" t="str">
        <f t="shared" si="74"/>
        <v/>
      </c>
      <c r="AR337" s="609" t="str">
        <f t="shared" si="74"/>
        <v/>
      </c>
      <c r="AS337" s="609" t="str">
        <f t="shared" si="74"/>
        <v/>
      </c>
      <c r="AT337" s="609" t="str">
        <f t="shared" si="74"/>
        <v/>
      </c>
      <c r="AU337" s="609" t="str">
        <f t="shared" si="74"/>
        <v/>
      </c>
      <c r="AV337" s="609" t="str">
        <f t="shared" si="74"/>
        <v/>
      </c>
      <c r="AW337" s="609" t="str">
        <f t="shared" si="74"/>
        <v/>
      </c>
      <c r="AX337" s="609" t="str">
        <f t="shared" si="74"/>
        <v/>
      </c>
      <c r="AY337" s="609" t="str">
        <f t="shared" si="74"/>
        <v/>
      </c>
      <c r="AZ337" s="609" t="str">
        <f t="shared" si="74"/>
        <v/>
      </c>
      <c r="BA337" s="609" t="str">
        <f t="shared" si="73"/>
        <v/>
      </c>
      <c r="BB337" s="609" t="str">
        <f t="shared" si="73"/>
        <v/>
      </c>
      <c r="BC337" s="609" t="str">
        <f t="shared" si="73"/>
        <v/>
      </c>
      <c r="BD337" s="609" t="str">
        <f t="shared" si="71"/>
        <v/>
      </c>
      <c r="BE337" s="609" t="str">
        <f t="shared" si="71"/>
        <v/>
      </c>
      <c r="BF337" s="609" t="str">
        <f t="shared" si="71"/>
        <v/>
      </c>
      <c r="BG337" s="609" t="str">
        <f t="shared" si="71"/>
        <v/>
      </c>
    </row>
    <row r="338" spans="2:59" x14ac:dyDescent="0.25">
      <c r="B338" s="654">
        <v>332</v>
      </c>
      <c r="C338" s="654"/>
      <c r="D338" s="654"/>
      <c r="E338" s="655"/>
      <c r="F338" s="654"/>
      <c r="H338" s="609" t="str">
        <f t="shared" si="72"/>
        <v/>
      </c>
      <c r="I338" s="609" t="str">
        <f t="shared" si="72"/>
        <v/>
      </c>
      <c r="J338" s="609" t="str">
        <f t="shared" si="72"/>
        <v/>
      </c>
      <c r="K338" s="609" t="str">
        <f t="shared" si="72"/>
        <v/>
      </c>
      <c r="L338" s="609" t="str">
        <f t="shared" si="72"/>
        <v/>
      </c>
      <c r="M338" s="609" t="str">
        <f t="shared" si="72"/>
        <v/>
      </c>
      <c r="N338" s="609" t="str">
        <f t="shared" si="72"/>
        <v/>
      </c>
      <c r="O338" s="609" t="str">
        <f t="shared" si="72"/>
        <v/>
      </c>
      <c r="P338" s="609" t="str">
        <f t="shared" si="72"/>
        <v/>
      </c>
      <c r="Q338" s="609" t="str">
        <f t="shared" si="72"/>
        <v/>
      </c>
      <c r="R338" s="609" t="str">
        <f t="shared" si="72"/>
        <v/>
      </c>
      <c r="S338" s="609" t="str">
        <f t="shared" si="72"/>
        <v/>
      </c>
      <c r="T338" s="609" t="str">
        <f t="shared" si="72"/>
        <v/>
      </c>
      <c r="U338" s="609" t="str">
        <f t="shared" si="72"/>
        <v/>
      </c>
      <c r="V338" s="609" t="str">
        <f t="shared" si="72"/>
        <v/>
      </c>
      <c r="W338" s="609" t="str">
        <f t="shared" si="72"/>
        <v/>
      </c>
      <c r="X338" s="609" t="str">
        <f t="shared" si="70"/>
        <v/>
      </c>
      <c r="Y338" s="609" t="str">
        <f t="shared" si="70"/>
        <v/>
      </c>
      <c r="Z338" s="609" t="str">
        <f t="shared" si="70"/>
        <v/>
      </c>
      <c r="AA338" s="609" t="str">
        <f t="shared" si="70"/>
        <v/>
      </c>
      <c r="AB338" s="609" t="str">
        <f t="shared" si="70"/>
        <v/>
      </c>
      <c r="AC338" s="609" t="str">
        <f t="shared" si="70"/>
        <v/>
      </c>
      <c r="AD338" s="609" t="str">
        <f t="shared" si="70"/>
        <v/>
      </c>
      <c r="AE338" s="609" t="str">
        <f t="shared" si="70"/>
        <v/>
      </c>
      <c r="AF338" s="609" t="str">
        <f t="shared" si="70"/>
        <v/>
      </c>
      <c r="AG338" s="609" t="str">
        <f t="shared" si="70"/>
        <v/>
      </c>
      <c r="AH338" s="609" t="str">
        <f t="shared" si="70"/>
        <v/>
      </c>
      <c r="AI338" s="609" t="str">
        <f t="shared" si="70"/>
        <v/>
      </c>
      <c r="AJ338" s="609" t="str">
        <f t="shared" si="70"/>
        <v/>
      </c>
      <c r="AK338" s="609" t="str">
        <f t="shared" si="74"/>
        <v/>
      </c>
      <c r="AL338" s="609" t="str">
        <f t="shared" si="74"/>
        <v/>
      </c>
      <c r="AM338" s="609" t="str">
        <f t="shared" si="74"/>
        <v/>
      </c>
      <c r="AN338" s="609" t="str">
        <f t="shared" si="74"/>
        <v/>
      </c>
      <c r="AO338" s="609" t="str">
        <f t="shared" si="74"/>
        <v/>
      </c>
      <c r="AP338" s="609" t="str">
        <f t="shared" si="74"/>
        <v/>
      </c>
      <c r="AQ338" s="609" t="str">
        <f t="shared" si="74"/>
        <v/>
      </c>
      <c r="AR338" s="609" t="str">
        <f t="shared" si="74"/>
        <v/>
      </c>
      <c r="AS338" s="609" t="str">
        <f t="shared" si="74"/>
        <v/>
      </c>
      <c r="AT338" s="609" t="str">
        <f t="shared" si="74"/>
        <v/>
      </c>
      <c r="AU338" s="609" t="str">
        <f t="shared" si="74"/>
        <v/>
      </c>
      <c r="AV338" s="609" t="str">
        <f t="shared" si="74"/>
        <v/>
      </c>
      <c r="AW338" s="609" t="str">
        <f t="shared" si="74"/>
        <v/>
      </c>
      <c r="AX338" s="609" t="str">
        <f t="shared" si="74"/>
        <v/>
      </c>
      <c r="AY338" s="609" t="str">
        <f t="shared" si="74"/>
        <v/>
      </c>
      <c r="AZ338" s="609" t="str">
        <f t="shared" si="74"/>
        <v/>
      </c>
      <c r="BA338" s="609" t="str">
        <f t="shared" si="73"/>
        <v/>
      </c>
      <c r="BB338" s="609" t="str">
        <f t="shared" si="73"/>
        <v/>
      </c>
      <c r="BC338" s="609" t="str">
        <f t="shared" si="73"/>
        <v/>
      </c>
      <c r="BD338" s="609" t="str">
        <f t="shared" si="71"/>
        <v/>
      </c>
      <c r="BE338" s="609" t="str">
        <f t="shared" si="71"/>
        <v/>
      </c>
      <c r="BF338" s="609" t="str">
        <f t="shared" si="71"/>
        <v/>
      </c>
      <c r="BG338" s="609" t="str">
        <f t="shared" si="71"/>
        <v/>
      </c>
    </row>
    <row r="339" spans="2:59" x14ac:dyDescent="0.25">
      <c r="B339" s="654">
        <v>333</v>
      </c>
      <c r="C339" s="654"/>
      <c r="D339" s="654"/>
      <c r="E339" s="655"/>
      <c r="F339" s="654"/>
      <c r="H339" s="609" t="str">
        <f t="shared" si="72"/>
        <v/>
      </c>
      <c r="I339" s="609" t="str">
        <f t="shared" si="72"/>
        <v/>
      </c>
      <c r="J339" s="609" t="str">
        <f t="shared" si="72"/>
        <v/>
      </c>
      <c r="K339" s="609" t="str">
        <f t="shared" si="72"/>
        <v/>
      </c>
      <c r="L339" s="609" t="str">
        <f t="shared" si="72"/>
        <v/>
      </c>
      <c r="M339" s="609" t="str">
        <f t="shared" si="72"/>
        <v/>
      </c>
      <c r="N339" s="609" t="str">
        <f t="shared" si="72"/>
        <v/>
      </c>
      <c r="O339" s="609" t="str">
        <f t="shared" si="72"/>
        <v/>
      </c>
      <c r="P339" s="609" t="str">
        <f t="shared" si="72"/>
        <v/>
      </c>
      <c r="Q339" s="609" t="str">
        <f t="shared" si="72"/>
        <v/>
      </c>
      <c r="R339" s="609" t="str">
        <f t="shared" si="72"/>
        <v/>
      </c>
      <c r="S339" s="609" t="str">
        <f t="shared" si="72"/>
        <v/>
      </c>
      <c r="T339" s="609" t="str">
        <f t="shared" si="72"/>
        <v/>
      </c>
      <c r="U339" s="609" t="str">
        <f t="shared" si="72"/>
        <v/>
      </c>
      <c r="V339" s="609" t="str">
        <f t="shared" si="72"/>
        <v/>
      </c>
      <c r="W339" s="609" t="str">
        <f t="shared" si="72"/>
        <v/>
      </c>
      <c r="X339" s="609" t="str">
        <f t="shared" si="70"/>
        <v/>
      </c>
      <c r="Y339" s="609" t="str">
        <f t="shared" si="70"/>
        <v/>
      </c>
      <c r="Z339" s="609" t="str">
        <f t="shared" si="70"/>
        <v/>
      </c>
      <c r="AA339" s="609" t="str">
        <f t="shared" si="70"/>
        <v/>
      </c>
      <c r="AB339" s="609" t="str">
        <f t="shared" si="70"/>
        <v/>
      </c>
      <c r="AC339" s="609" t="str">
        <f t="shared" si="70"/>
        <v/>
      </c>
      <c r="AD339" s="609" t="str">
        <f t="shared" si="70"/>
        <v/>
      </c>
      <c r="AE339" s="609" t="str">
        <f t="shared" si="70"/>
        <v/>
      </c>
      <c r="AF339" s="609" t="str">
        <f t="shared" si="70"/>
        <v/>
      </c>
      <c r="AG339" s="609" t="str">
        <f t="shared" si="70"/>
        <v/>
      </c>
      <c r="AH339" s="609" t="str">
        <f t="shared" si="70"/>
        <v/>
      </c>
      <c r="AI339" s="609" t="str">
        <f t="shared" si="70"/>
        <v/>
      </c>
      <c r="AJ339" s="609" t="str">
        <f t="shared" si="70"/>
        <v/>
      </c>
      <c r="AK339" s="609" t="str">
        <f t="shared" si="74"/>
        <v/>
      </c>
      <c r="AL339" s="609" t="str">
        <f t="shared" si="74"/>
        <v/>
      </c>
      <c r="AM339" s="609" t="str">
        <f t="shared" si="74"/>
        <v/>
      </c>
      <c r="AN339" s="609" t="str">
        <f t="shared" si="74"/>
        <v/>
      </c>
      <c r="AO339" s="609" t="str">
        <f t="shared" si="74"/>
        <v/>
      </c>
      <c r="AP339" s="609" t="str">
        <f t="shared" si="74"/>
        <v/>
      </c>
      <c r="AQ339" s="609" t="str">
        <f t="shared" si="74"/>
        <v/>
      </c>
      <c r="AR339" s="609" t="str">
        <f t="shared" si="74"/>
        <v/>
      </c>
      <c r="AS339" s="609" t="str">
        <f t="shared" si="74"/>
        <v/>
      </c>
      <c r="AT339" s="609" t="str">
        <f t="shared" si="74"/>
        <v/>
      </c>
      <c r="AU339" s="609" t="str">
        <f t="shared" si="74"/>
        <v/>
      </c>
      <c r="AV339" s="609" t="str">
        <f t="shared" si="74"/>
        <v/>
      </c>
      <c r="AW339" s="609" t="str">
        <f t="shared" si="74"/>
        <v/>
      </c>
      <c r="AX339" s="609" t="str">
        <f t="shared" si="74"/>
        <v/>
      </c>
      <c r="AY339" s="609" t="str">
        <f t="shared" si="74"/>
        <v/>
      </c>
      <c r="AZ339" s="609" t="str">
        <f t="shared" si="74"/>
        <v/>
      </c>
      <c r="BA339" s="609" t="str">
        <f t="shared" si="73"/>
        <v/>
      </c>
      <c r="BB339" s="609" t="str">
        <f t="shared" si="73"/>
        <v/>
      </c>
      <c r="BC339" s="609" t="str">
        <f t="shared" si="73"/>
        <v/>
      </c>
      <c r="BD339" s="609" t="str">
        <f t="shared" si="71"/>
        <v/>
      </c>
      <c r="BE339" s="609" t="str">
        <f t="shared" si="71"/>
        <v/>
      </c>
      <c r="BF339" s="609" t="str">
        <f t="shared" si="71"/>
        <v/>
      </c>
      <c r="BG339" s="609" t="str">
        <f t="shared" si="71"/>
        <v/>
      </c>
    </row>
    <row r="340" spans="2:59" x14ac:dyDescent="0.25">
      <c r="B340" s="654">
        <v>334</v>
      </c>
      <c r="C340" s="654"/>
      <c r="D340" s="654"/>
      <c r="E340" s="655"/>
      <c r="F340" s="654"/>
      <c r="H340" s="609" t="str">
        <f t="shared" si="72"/>
        <v/>
      </c>
      <c r="I340" s="609" t="str">
        <f t="shared" si="72"/>
        <v/>
      </c>
      <c r="J340" s="609" t="str">
        <f t="shared" si="72"/>
        <v/>
      </c>
      <c r="K340" s="609" t="str">
        <f t="shared" si="72"/>
        <v/>
      </c>
      <c r="L340" s="609" t="str">
        <f t="shared" si="72"/>
        <v/>
      </c>
      <c r="M340" s="609" t="str">
        <f t="shared" si="72"/>
        <v/>
      </c>
      <c r="N340" s="609" t="str">
        <f t="shared" si="72"/>
        <v/>
      </c>
      <c r="O340" s="609" t="str">
        <f t="shared" si="72"/>
        <v/>
      </c>
      <c r="P340" s="609" t="str">
        <f t="shared" si="72"/>
        <v/>
      </c>
      <c r="Q340" s="609" t="str">
        <f t="shared" si="72"/>
        <v/>
      </c>
      <c r="R340" s="609" t="str">
        <f t="shared" si="72"/>
        <v/>
      </c>
      <c r="S340" s="609" t="str">
        <f t="shared" si="72"/>
        <v/>
      </c>
      <c r="T340" s="609" t="str">
        <f t="shared" si="72"/>
        <v/>
      </c>
      <c r="U340" s="609" t="str">
        <f t="shared" si="72"/>
        <v/>
      </c>
      <c r="V340" s="609" t="str">
        <f t="shared" si="72"/>
        <v/>
      </c>
      <c r="W340" s="609" t="str">
        <f t="shared" si="72"/>
        <v/>
      </c>
      <c r="X340" s="609" t="str">
        <f t="shared" si="70"/>
        <v/>
      </c>
      <c r="Y340" s="609" t="str">
        <f t="shared" si="70"/>
        <v/>
      </c>
      <c r="Z340" s="609" t="str">
        <f t="shared" si="70"/>
        <v/>
      </c>
      <c r="AA340" s="609" t="str">
        <f t="shared" si="70"/>
        <v/>
      </c>
      <c r="AB340" s="609" t="str">
        <f t="shared" si="70"/>
        <v/>
      </c>
      <c r="AC340" s="609" t="str">
        <f t="shared" si="70"/>
        <v/>
      </c>
      <c r="AD340" s="609" t="str">
        <f t="shared" si="70"/>
        <v/>
      </c>
      <c r="AE340" s="609" t="str">
        <f t="shared" si="70"/>
        <v/>
      </c>
      <c r="AF340" s="609" t="str">
        <f t="shared" si="70"/>
        <v/>
      </c>
      <c r="AG340" s="609" t="str">
        <f t="shared" si="70"/>
        <v/>
      </c>
      <c r="AH340" s="609" t="str">
        <f t="shared" si="70"/>
        <v/>
      </c>
      <c r="AI340" s="609" t="str">
        <f t="shared" si="70"/>
        <v/>
      </c>
      <c r="AJ340" s="609" t="str">
        <f t="shared" si="70"/>
        <v/>
      </c>
      <c r="AK340" s="609" t="str">
        <f t="shared" si="74"/>
        <v/>
      </c>
      <c r="AL340" s="609" t="str">
        <f t="shared" si="74"/>
        <v/>
      </c>
      <c r="AM340" s="609" t="str">
        <f t="shared" si="74"/>
        <v/>
      </c>
      <c r="AN340" s="609" t="str">
        <f t="shared" si="74"/>
        <v/>
      </c>
      <c r="AO340" s="609" t="str">
        <f t="shared" si="74"/>
        <v/>
      </c>
      <c r="AP340" s="609" t="str">
        <f t="shared" si="74"/>
        <v/>
      </c>
      <c r="AQ340" s="609" t="str">
        <f t="shared" si="74"/>
        <v/>
      </c>
      <c r="AR340" s="609" t="str">
        <f t="shared" si="74"/>
        <v/>
      </c>
      <c r="AS340" s="609" t="str">
        <f t="shared" si="74"/>
        <v/>
      </c>
      <c r="AT340" s="609" t="str">
        <f t="shared" si="74"/>
        <v/>
      </c>
      <c r="AU340" s="609" t="str">
        <f t="shared" si="74"/>
        <v/>
      </c>
      <c r="AV340" s="609" t="str">
        <f t="shared" si="74"/>
        <v/>
      </c>
      <c r="AW340" s="609" t="str">
        <f t="shared" si="74"/>
        <v/>
      </c>
      <c r="AX340" s="609" t="str">
        <f t="shared" si="74"/>
        <v/>
      </c>
      <c r="AY340" s="609" t="str">
        <f t="shared" si="74"/>
        <v/>
      </c>
      <c r="AZ340" s="609" t="str">
        <f t="shared" si="74"/>
        <v/>
      </c>
      <c r="BA340" s="609" t="str">
        <f t="shared" si="73"/>
        <v/>
      </c>
      <c r="BB340" s="609" t="str">
        <f t="shared" si="73"/>
        <v/>
      </c>
      <c r="BC340" s="609" t="str">
        <f t="shared" si="73"/>
        <v/>
      </c>
      <c r="BD340" s="609" t="str">
        <f t="shared" si="71"/>
        <v/>
      </c>
      <c r="BE340" s="609" t="str">
        <f t="shared" si="71"/>
        <v/>
      </c>
      <c r="BF340" s="609" t="str">
        <f t="shared" si="71"/>
        <v/>
      </c>
      <c r="BG340" s="609" t="str">
        <f t="shared" si="71"/>
        <v/>
      </c>
    </row>
    <row r="341" spans="2:59" x14ac:dyDescent="0.25">
      <c r="B341" s="654">
        <v>335</v>
      </c>
      <c r="C341" s="654"/>
      <c r="D341" s="654"/>
      <c r="E341" s="655"/>
      <c r="F341" s="654"/>
      <c r="H341" s="609" t="str">
        <f t="shared" si="72"/>
        <v/>
      </c>
      <c r="I341" s="609" t="str">
        <f t="shared" si="72"/>
        <v/>
      </c>
      <c r="J341" s="609" t="str">
        <f t="shared" si="72"/>
        <v/>
      </c>
      <c r="K341" s="609" t="str">
        <f t="shared" si="72"/>
        <v/>
      </c>
      <c r="L341" s="609" t="str">
        <f t="shared" si="72"/>
        <v/>
      </c>
      <c r="M341" s="609" t="str">
        <f t="shared" si="72"/>
        <v/>
      </c>
      <c r="N341" s="609" t="str">
        <f t="shared" si="72"/>
        <v/>
      </c>
      <c r="O341" s="609" t="str">
        <f t="shared" si="72"/>
        <v/>
      </c>
      <c r="P341" s="609" t="str">
        <f t="shared" si="72"/>
        <v/>
      </c>
      <c r="Q341" s="609" t="str">
        <f t="shared" si="72"/>
        <v/>
      </c>
      <c r="R341" s="609" t="str">
        <f t="shared" si="72"/>
        <v/>
      </c>
      <c r="S341" s="609" t="str">
        <f t="shared" si="72"/>
        <v/>
      </c>
      <c r="T341" s="609" t="str">
        <f t="shared" si="72"/>
        <v/>
      </c>
      <c r="U341" s="609" t="str">
        <f t="shared" si="72"/>
        <v/>
      </c>
      <c r="V341" s="609" t="str">
        <f t="shared" si="72"/>
        <v/>
      </c>
      <c r="W341" s="609" t="str">
        <f t="shared" ref="W341:AL356" si="75">IF($D341=W$6,$B341&amp;", ","")</f>
        <v/>
      </c>
      <c r="X341" s="609" t="str">
        <f t="shared" si="75"/>
        <v/>
      </c>
      <c r="Y341" s="609" t="str">
        <f t="shared" si="75"/>
        <v/>
      </c>
      <c r="Z341" s="609" t="str">
        <f t="shared" si="75"/>
        <v/>
      </c>
      <c r="AA341" s="609" t="str">
        <f t="shared" si="75"/>
        <v/>
      </c>
      <c r="AB341" s="609" t="str">
        <f t="shared" si="75"/>
        <v/>
      </c>
      <c r="AC341" s="609" t="str">
        <f t="shared" si="75"/>
        <v/>
      </c>
      <c r="AD341" s="609" t="str">
        <f t="shared" si="75"/>
        <v/>
      </c>
      <c r="AE341" s="609" t="str">
        <f t="shared" si="75"/>
        <v/>
      </c>
      <c r="AF341" s="609" t="str">
        <f t="shared" si="75"/>
        <v/>
      </c>
      <c r="AG341" s="609" t="str">
        <f t="shared" si="75"/>
        <v/>
      </c>
      <c r="AH341" s="609" t="str">
        <f t="shared" si="75"/>
        <v/>
      </c>
      <c r="AI341" s="609" t="str">
        <f t="shared" si="75"/>
        <v/>
      </c>
      <c r="AJ341" s="609" t="str">
        <f t="shared" si="75"/>
        <v/>
      </c>
      <c r="AK341" s="609" t="str">
        <f t="shared" si="75"/>
        <v/>
      </c>
      <c r="AL341" s="609" t="str">
        <f t="shared" si="75"/>
        <v/>
      </c>
      <c r="AM341" s="609" t="str">
        <f t="shared" si="74"/>
        <v/>
      </c>
      <c r="AN341" s="609" t="str">
        <f t="shared" si="74"/>
        <v/>
      </c>
      <c r="AO341" s="609" t="str">
        <f t="shared" si="74"/>
        <v/>
      </c>
      <c r="AP341" s="609" t="str">
        <f t="shared" si="74"/>
        <v/>
      </c>
      <c r="AQ341" s="609" t="str">
        <f t="shared" si="74"/>
        <v/>
      </c>
      <c r="AR341" s="609" t="str">
        <f t="shared" si="74"/>
        <v/>
      </c>
      <c r="AS341" s="609" t="str">
        <f t="shared" si="74"/>
        <v/>
      </c>
      <c r="AT341" s="609" t="str">
        <f t="shared" si="74"/>
        <v/>
      </c>
      <c r="AU341" s="609" t="str">
        <f t="shared" si="74"/>
        <v/>
      </c>
      <c r="AV341" s="609" t="str">
        <f t="shared" si="74"/>
        <v/>
      </c>
      <c r="AW341" s="609" t="str">
        <f t="shared" si="74"/>
        <v/>
      </c>
      <c r="AX341" s="609" t="str">
        <f t="shared" si="74"/>
        <v/>
      </c>
      <c r="AY341" s="609" t="str">
        <f t="shared" si="74"/>
        <v/>
      </c>
      <c r="AZ341" s="609" t="str">
        <f t="shared" si="74"/>
        <v/>
      </c>
      <c r="BA341" s="609" t="str">
        <f t="shared" si="73"/>
        <v/>
      </c>
      <c r="BB341" s="609" t="str">
        <f t="shared" si="73"/>
        <v/>
      </c>
      <c r="BC341" s="609" t="str">
        <f t="shared" si="73"/>
        <v/>
      </c>
      <c r="BD341" s="609" t="str">
        <f t="shared" si="71"/>
        <v/>
      </c>
      <c r="BE341" s="609" t="str">
        <f t="shared" si="71"/>
        <v/>
      </c>
      <c r="BF341" s="609" t="str">
        <f t="shared" si="71"/>
        <v/>
      </c>
      <c r="BG341" s="609" t="str">
        <f t="shared" si="71"/>
        <v/>
      </c>
    </row>
    <row r="342" spans="2:59" x14ac:dyDescent="0.25">
      <c r="B342" s="654">
        <v>336</v>
      </c>
      <c r="C342" s="654"/>
      <c r="D342" s="654"/>
      <c r="E342" s="655"/>
      <c r="F342" s="654"/>
      <c r="H342" s="609" t="str">
        <f t="shared" ref="H342:W357" si="76">IF($D342=H$6,$B342&amp;", ","")</f>
        <v/>
      </c>
      <c r="I342" s="609" t="str">
        <f t="shared" si="76"/>
        <v/>
      </c>
      <c r="J342" s="609" t="str">
        <f t="shared" si="76"/>
        <v/>
      </c>
      <c r="K342" s="609" t="str">
        <f t="shared" si="76"/>
        <v/>
      </c>
      <c r="L342" s="609" t="str">
        <f t="shared" si="76"/>
        <v/>
      </c>
      <c r="M342" s="609" t="str">
        <f t="shared" si="76"/>
        <v/>
      </c>
      <c r="N342" s="609" t="str">
        <f t="shared" si="76"/>
        <v/>
      </c>
      <c r="O342" s="609" t="str">
        <f t="shared" si="76"/>
        <v/>
      </c>
      <c r="P342" s="609" t="str">
        <f t="shared" si="76"/>
        <v/>
      </c>
      <c r="Q342" s="609" t="str">
        <f t="shared" si="76"/>
        <v/>
      </c>
      <c r="R342" s="609" t="str">
        <f t="shared" si="76"/>
        <v/>
      </c>
      <c r="S342" s="609" t="str">
        <f t="shared" si="76"/>
        <v/>
      </c>
      <c r="T342" s="609" t="str">
        <f t="shared" si="76"/>
        <v/>
      </c>
      <c r="U342" s="609" t="str">
        <f t="shared" si="76"/>
        <v/>
      </c>
      <c r="V342" s="609" t="str">
        <f t="shared" si="76"/>
        <v/>
      </c>
      <c r="W342" s="609" t="str">
        <f t="shared" si="76"/>
        <v/>
      </c>
      <c r="X342" s="609" t="str">
        <f t="shared" si="75"/>
        <v/>
      </c>
      <c r="Y342" s="609" t="str">
        <f t="shared" si="75"/>
        <v/>
      </c>
      <c r="Z342" s="609" t="str">
        <f t="shared" si="75"/>
        <v/>
      </c>
      <c r="AA342" s="609" t="str">
        <f t="shared" si="75"/>
        <v/>
      </c>
      <c r="AB342" s="609" t="str">
        <f t="shared" si="75"/>
        <v/>
      </c>
      <c r="AC342" s="609" t="str">
        <f t="shared" si="75"/>
        <v/>
      </c>
      <c r="AD342" s="609" t="str">
        <f t="shared" si="75"/>
        <v/>
      </c>
      <c r="AE342" s="609" t="str">
        <f t="shared" si="75"/>
        <v/>
      </c>
      <c r="AF342" s="609" t="str">
        <f t="shared" si="75"/>
        <v/>
      </c>
      <c r="AG342" s="609" t="str">
        <f t="shared" si="75"/>
        <v/>
      </c>
      <c r="AH342" s="609" t="str">
        <f t="shared" si="75"/>
        <v/>
      </c>
      <c r="AI342" s="609" t="str">
        <f t="shared" si="75"/>
        <v/>
      </c>
      <c r="AJ342" s="609" t="str">
        <f t="shared" si="75"/>
        <v/>
      </c>
      <c r="AK342" s="609" t="str">
        <f t="shared" si="75"/>
        <v/>
      </c>
      <c r="AL342" s="609" t="str">
        <f t="shared" si="75"/>
        <v/>
      </c>
      <c r="AM342" s="609" t="str">
        <f t="shared" si="74"/>
        <v/>
      </c>
      <c r="AN342" s="609" t="str">
        <f t="shared" si="74"/>
        <v/>
      </c>
      <c r="AO342" s="609" t="str">
        <f t="shared" si="74"/>
        <v/>
      </c>
      <c r="AP342" s="609" t="str">
        <f t="shared" si="74"/>
        <v/>
      </c>
      <c r="AQ342" s="609" t="str">
        <f t="shared" si="74"/>
        <v/>
      </c>
      <c r="AR342" s="609" t="str">
        <f t="shared" si="74"/>
        <v/>
      </c>
      <c r="AS342" s="609" t="str">
        <f t="shared" si="74"/>
        <v/>
      </c>
      <c r="AT342" s="609" t="str">
        <f t="shared" si="74"/>
        <v/>
      </c>
      <c r="AU342" s="609" t="str">
        <f t="shared" si="74"/>
        <v/>
      </c>
      <c r="AV342" s="609" t="str">
        <f t="shared" si="74"/>
        <v/>
      </c>
      <c r="AW342" s="609" t="str">
        <f t="shared" si="74"/>
        <v/>
      </c>
      <c r="AX342" s="609" t="str">
        <f t="shared" si="74"/>
        <v/>
      </c>
      <c r="AY342" s="609" t="str">
        <f t="shared" si="74"/>
        <v/>
      </c>
      <c r="AZ342" s="609" t="str">
        <f t="shared" si="74"/>
        <v/>
      </c>
      <c r="BA342" s="609" t="str">
        <f t="shared" si="73"/>
        <v/>
      </c>
      <c r="BB342" s="609" t="str">
        <f t="shared" si="73"/>
        <v/>
      </c>
      <c r="BC342" s="609" t="str">
        <f t="shared" si="73"/>
        <v/>
      </c>
      <c r="BD342" s="609" t="str">
        <f t="shared" si="71"/>
        <v/>
      </c>
      <c r="BE342" s="609" t="str">
        <f t="shared" si="71"/>
        <v/>
      </c>
      <c r="BF342" s="609" t="str">
        <f t="shared" si="71"/>
        <v/>
      </c>
      <c r="BG342" s="609" t="str">
        <f t="shared" si="71"/>
        <v/>
      </c>
    </row>
    <row r="343" spans="2:59" x14ac:dyDescent="0.25">
      <c r="B343" s="654">
        <v>337</v>
      </c>
      <c r="C343" s="654"/>
      <c r="D343" s="654"/>
      <c r="E343" s="655"/>
      <c r="F343" s="654"/>
      <c r="H343" s="609" t="str">
        <f t="shared" si="76"/>
        <v/>
      </c>
      <c r="I343" s="609" t="str">
        <f t="shared" si="76"/>
        <v/>
      </c>
      <c r="J343" s="609" t="str">
        <f t="shared" si="76"/>
        <v/>
      </c>
      <c r="K343" s="609" t="str">
        <f t="shared" si="76"/>
        <v/>
      </c>
      <c r="L343" s="609" t="str">
        <f t="shared" si="76"/>
        <v/>
      </c>
      <c r="M343" s="609" t="str">
        <f t="shared" si="76"/>
        <v/>
      </c>
      <c r="N343" s="609" t="str">
        <f t="shared" si="76"/>
        <v/>
      </c>
      <c r="O343" s="609" t="str">
        <f t="shared" si="76"/>
        <v/>
      </c>
      <c r="P343" s="609" t="str">
        <f t="shared" si="76"/>
        <v/>
      </c>
      <c r="Q343" s="609" t="str">
        <f t="shared" si="76"/>
        <v/>
      </c>
      <c r="R343" s="609" t="str">
        <f t="shared" si="76"/>
        <v/>
      </c>
      <c r="S343" s="609" t="str">
        <f t="shared" si="76"/>
        <v/>
      </c>
      <c r="T343" s="609" t="str">
        <f t="shared" si="76"/>
        <v/>
      </c>
      <c r="U343" s="609" t="str">
        <f t="shared" si="76"/>
        <v/>
      </c>
      <c r="V343" s="609" t="str">
        <f t="shared" si="76"/>
        <v/>
      </c>
      <c r="W343" s="609" t="str">
        <f t="shared" si="76"/>
        <v/>
      </c>
      <c r="X343" s="609" t="str">
        <f t="shared" si="75"/>
        <v/>
      </c>
      <c r="Y343" s="609" t="str">
        <f t="shared" si="75"/>
        <v/>
      </c>
      <c r="Z343" s="609" t="str">
        <f t="shared" si="75"/>
        <v/>
      </c>
      <c r="AA343" s="609" t="str">
        <f t="shared" si="75"/>
        <v/>
      </c>
      <c r="AB343" s="609" t="str">
        <f t="shared" si="75"/>
        <v/>
      </c>
      <c r="AC343" s="609" t="str">
        <f t="shared" si="75"/>
        <v/>
      </c>
      <c r="AD343" s="609" t="str">
        <f t="shared" si="75"/>
        <v/>
      </c>
      <c r="AE343" s="609" t="str">
        <f t="shared" si="75"/>
        <v/>
      </c>
      <c r="AF343" s="609" t="str">
        <f t="shared" si="75"/>
        <v/>
      </c>
      <c r="AG343" s="609" t="str">
        <f t="shared" si="75"/>
        <v/>
      </c>
      <c r="AH343" s="609" t="str">
        <f t="shared" si="75"/>
        <v/>
      </c>
      <c r="AI343" s="609" t="str">
        <f t="shared" si="75"/>
        <v/>
      </c>
      <c r="AJ343" s="609" t="str">
        <f t="shared" si="75"/>
        <v/>
      </c>
      <c r="AK343" s="609" t="str">
        <f t="shared" si="75"/>
        <v/>
      </c>
      <c r="AL343" s="609" t="str">
        <f t="shared" si="75"/>
        <v/>
      </c>
      <c r="AM343" s="609" t="str">
        <f t="shared" si="74"/>
        <v/>
      </c>
      <c r="AN343" s="609" t="str">
        <f t="shared" si="74"/>
        <v/>
      </c>
      <c r="AO343" s="609" t="str">
        <f t="shared" si="74"/>
        <v/>
      </c>
      <c r="AP343" s="609" t="str">
        <f t="shared" si="74"/>
        <v/>
      </c>
      <c r="AQ343" s="609" t="str">
        <f t="shared" si="74"/>
        <v/>
      </c>
      <c r="AR343" s="609" t="str">
        <f t="shared" si="74"/>
        <v/>
      </c>
      <c r="AS343" s="609" t="str">
        <f t="shared" si="74"/>
        <v/>
      </c>
      <c r="AT343" s="609" t="str">
        <f t="shared" si="74"/>
        <v/>
      </c>
      <c r="AU343" s="609" t="str">
        <f t="shared" si="74"/>
        <v/>
      </c>
      <c r="AV343" s="609" t="str">
        <f t="shared" si="74"/>
        <v/>
      </c>
      <c r="AW343" s="609" t="str">
        <f t="shared" si="74"/>
        <v/>
      </c>
      <c r="AX343" s="609" t="str">
        <f t="shared" si="74"/>
        <v/>
      </c>
      <c r="AY343" s="609" t="str">
        <f t="shared" si="74"/>
        <v/>
      </c>
      <c r="AZ343" s="609" t="str">
        <f t="shared" si="74"/>
        <v/>
      </c>
      <c r="BA343" s="609" t="str">
        <f t="shared" si="73"/>
        <v/>
      </c>
      <c r="BB343" s="609" t="str">
        <f t="shared" si="73"/>
        <v/>
      </c>
      <c r="BC343" s="609" t="str">
        <f t="shared" si="73"/>
        <v/>
      </c>
      <c r="BD343" s="609" t="str">
        <f t="shared" si="71"/>
        <v/>
      </c>
      <c r="BE343" s="609" t="str">
        <f t="shared" si="71"/>
        <v/>
      </c>
      <c r="BF343" s="609" t="str">
        <f t="shared" si="71"/>
        <v/>
      </c>
      <c r="BG343" s="609" t="str">
        <f t="shared" si="71"/>
        <v/>
      </c>
    </row>
    <row r="344" spans="2:59" x14ac:dyDescent="0.25">
      <c r="B344" s="654">
        <v>338</v>
      </c>
      <c r="C344" s="654"/>
      <c r="D344" s="654"/>
      <c r="E344" s="655"/>
      <c r="F344" s="654"/>
      <c r="H344" s="609" t="str">
        <f t="shared" si="76"/>
        <v/>
      </c>
      <c r="I344" s="609" t="str">
        <f t="shared" si="76"/>
        <v/>
      </c>
      <c r="J344" s="609" t="str">
        <f t="shared" si="76"/>
        <v/>
      </c>
      <c r="K344" s="609" t="str">
        <f t="shared" si="76"/>
        <v/>
      </c>
      <c r="L344" s="609" t="str">
        <f t="shared" si="76"/>
        <v/>
      </c>
      <c r="M344" s="609" t="str">
        <f t="shared" si="76"/>
        <v/>
      </c>
      <c r="N344" s="609" t="str">
        <f t="shared" si="76"/>
        <v/>
      </c>
      <c r="O344" s="609" t="str">
        <f t="shared" si="76"/>
        <v/>
      </c>
      <c r="P344" s="609" t="str">
        <f t="shared" si="76"/>
        <v/>
      </c>
      <c r="Q344" s="609" t="str">
        <f t="shared" si="76"/>
        <v/>
      </c>
      <c r="R344" s="609" t="str">
        <f t="shared" si="76"/>
        <v/>
      </c>
      <c r="S344" s="609" t="str">
        <f t="shared" si="76"/>
        <v/>
      </c>
      <c r="T344" s="609" t="str">
        <f t="shared" si="76"/>
        <v/>
      </c>
      <c r="U344" s="609" t="str">
        <f t="shared" si="76"/>
        <v/>
      </c>
      <c r="V344" s="609" t="str">
        <f t="shared" si="76"/>
        <v/>
      </c>
      <c r="W344" s="609" t="str">
        <f t="shared" si="76"/>
        <v/>
      </c>
      <c r="X344" s="609" t="str">
        <f t="shared" si="75"/>
        <v/>
      </c>
      <c r="Y344" s="609" t="str">
        <f t="shared" si="75"/>
        <v/>
      </c>
      <c r="Z344" s="609" t="str">
        <f t="shared" si="75"/>
        <v/>
      </c>
      <c r="AA344" s="609" t="str">
        <f t="shared" si="75"/>
        <v/>
      </c>
      <c r="AB344" s="609" t="str">
        <f t="shared" si="75"/>
        <v/>
      </c>
      <c r="AC344" s="609" t="str">
        <f t="shared" si="75"/>
        <v/>
      </c>
      <c r="AD344" s="609" t="str">
        <f t="shared" si="75"/>
        <v/>
      </c>
      <c r="AE344" s="609" t="str">
        <f t="shared" si="75"/>
        <v/>
      </c>
      <c r="AF344" s="609" t="str">
        <f t="shared" si="75"/>
        <v/>
      </c>
      <c r="AG344" s="609" t="str">
        <f t="shared" si="75"/>
        <v/>
      </c>
      <c r="AH344" s="609" t="str">
        <f t="shared" si="75"/>
        <v/>
      </c>
      <c r="AI344" s="609" t="str">
        <f t="shared" si="75"/>
        <v/>
      </c>
      <c r="AJ344" s="609" t="str">
        <f t="shared" si="75"/>
        <v/>
      </c>
      <c r="AK344" s="609" t="str">
        <f t="shared" si="75"/>
        <v/>
      </c>
      <c r="AL344" s="609" t="str">
        <f t="shared" si="75"/>
        <v/>
      </c>
      <c r="AM344" s="609" t="str">
        <f t="shared" si="74"/>
        <v/>
      </c>
      <c r="AN344" s="609" t="str">
        <f t="shared" si="74"/>
        <v/>
      </c>
      <c r="AO344" s="609" t="str">
        <f t="shared" si="74"/>
        <v/>
      </c>
      <c r="AP344" s="609" t="str">
        <f t="shared" si="74"/>
        <v/>
      </c>
      <c r="AQ344" s="609" t="str">
        <f t="shared" si="74"/>
        <v/>
      </c>
      <c r="AR344" s="609" t="str">
        <f t="shared" si="74"/>
        <v/>
      </c>
      <c r="AS344" s="609" t="str">
        <f t="shared" si="74"/>
        <v/>
      </c>
      <c r="AT344" s="609" t="str">
        <f t="shared" si="74"/>
        <v/>
      </c>
      <c r="AU344" s="609" t="str">
        <f t="shared" si="74"/>
        <v/>
      </c>
      <c r="AV344" s="609" t="str">
        <f t="shared" si="74"/>
        <v/>
      </c>
      <c r="AW344" s="609" t="str">
        <f t="shared" si="74"/>
        <v/>
      </c>
      <c r="AX344" s="609" t="str">
        <f t="shared" si="74"/>
        <v/>
      </c>
      <c r="AY344" s="609" t="str">
        <f t="shared" si="74"/>
        <v/>
      </c>
      <c r="AZ344" s="609" t="str">
        <f t="shared" si="74"/>
        <v/>
      </c>
      <c r="BA344" s="609" t="str">
        <f t="shared" si="73"/>
        <v/>
      </c>
      <c r="BB344" s="609" t="str">
        <f t="shared" si="73"/>
        <v/>
      </c>
      <c r="BC344" s="609" t="str">
        <f t="shared" si="73"/>
        <v/>
      </c>
      <c r="BD344" s="609" t="str">
        <f t="shared" si="71"/>
        <v/>
      </c>
      <c r="BE344" s="609" t="str">
        <f t="shared" si="71"/>
        <v/>
      </c>
      <c r="BF344" s="609" t="str">
        <f t="shared" si="71"/>
        <v/>
      </c>
      <c r="BG344" s="609" t="str">
        <f t="shared" si="71"/>
        <v/>
      </c>
    </row>
    <row r="345" spans="2:59" x14ac:dyDescent="0.25">
      <c r="B345" s="654">
        <v>339</v>
      </c>
      <c r="C345" s="654"/>
      <c r="D345" s="654"/>
      <c r="E345" s="655"/>
      <c r="F345" s="654"/>
      <c r="H345" s="609" t="str">
        <f t="shared" si="76"/>
        <v/>
      </c>
      <c r="I345" s="609" t="str">
        <f t="shared" si="76"/>
        <v/>
      </c>
      <c r="J345" s="609" t="str">
        <f t="shared" si="76"/>
        <v/>
      </c>
      <c r="K345" s="609" t="str">
        <f t="shared" si="76"/>
        <v/>
      </c>
      <c r="L345" s="609" t="str">
        <f t="shared" si="76"/>
        <v/>
      </c>
      <c r="M345" s="609" t="str">
        <f t="shared" si="76"/>
        <v/>
      </c>
      <c r="N345" s="609" t="str">
        <f t="shared" si="76"/>
        <v/>
      </c>
      <c r="O345" s="609" t="str">
        <f t="shared" si="76"/>
        <v/>
      </c>
      <c r="P345" s="609" t="str">
        <f t="shared" si="76"/>
        <v/>
      </c>
      <c r="Q345" s="609" t="str">
        <f t="shared" si="76"/>
        <v/>
      </c>
      <c r="R345" s="609" t="str">
        <f t="shared" si="76"/>
        <v/>
      </c>
      <c r="S345" s="609" t="str">
        <f t="shared" si="76"/>
        <v/>
      </c>
      <c r="T345" s="609" t="str">
        <f t="shared" si="76"/>
        <v/>
      </c>
      <c r="U345" s="609" t="str">
        <f t="shared" si="76"/>
        <v/>
      </c>
      <c r="V345" s="609" t="str">
        <f t="shared" si="76"/>
        <v/>
      </c>
      <c r="W345" s="609" t="str">
        <f t="shared" si="76"/>
        <v/>
      </c>
      <c r="X345" s="609" t="str">
        <f t="shared" si="75"/>
        <v/>
      </c>
      <c r="Y345" s="609" t="str">
        <f t="shared" si="75"/>
        <v/>
      </c>
      <c r="Z345" s="609" t="str">
        <f t="shared" si="75"/>
        <v/>
      </c>
      <c r="AA345" s="609" t="str">
        <f t="shared" si="75"/>
        <v/>
      </c>
      <c r="AB345" s="609" t="str">
        <f t="shared" si="75"/>
        <v/>
      </c>
      <c r="AC345" s="609" t="str">
        <f t="shared" si="75"/>
        <v/>
      </c>
      <c r="AD345" s="609" t="str">
        <f t="shared" si="75"/>
        <v/>
      </c>
      <c r="AE345" s="609" t="str">
        <f t="shared" si="75"/>
        <v/>
      </c>
      <c r="AF345" s="609" t="str">
        <f t="shared" si="75"/>
        <v/>
      </c>
      <c r="AG345" s="609" t="str">
        <f t="shared" si="75"/>
        <v/>
      </c>
      <c r="AH345" s="609" t="str">
        <f t="shared" si="75"/>
        <v/>
      </c>
      <c r="AI345" s="609" t="str">
        <f t="shared" si="75"/>
        <v/>
      </c>
      <c r="AJ345" s="609" t="str">
        <f t="shared" si="75"/>
        <v/>
      </c>
      <c r="AK345" s="609" t="str">
        <f t="shared" si="75"/>
        <v/>
      </c>
      <c r="AL345" s="609" t="str">
        <f t="shared" si="75"/>
        <v/>
      </c>
      <c r="AM345" s="609" t="str">
        <f t="shared" si="74"/>
        <v/>
      </c>
      <c r="AN345" s="609" t="str">
        <f t="shared" si="74"/>
        <v/>
      </c>
      <c r="AO345" s="609" t="str">
        <f t="shared" si="74"/>
        <v/>
      </c>
      <c r="AP345" s="609" t="str">
        <f t="shared" si="74"/>
        <v/>
      </c>
      <c r="AQ345" s="609" t="str">
        <f t="shared" si="74"/>
        <v/>
      </c>
      <c r="AR345" s="609" t="str">
        <f t="shared" si="74"/>
        <v/>
      </c>
      <c r="AS345" s="609" t="str">
        <f t="shared" si="74"/>
        <v/>
      </c>
      <c r="AT345" s="609" t="str">
        <f t="shared" si="74"/>
        <v/>
      </c>
      <c r="AU345" s="609" t="str">
        <f t="shared" si="74"/>
        <v/>
      </c>
      <c r="AV345" s="609" t="str">
        <f t="shared" si="74"/>
        <v/>
      </c>
      <c r="AW345" s="609" t="str">
        <f t="shared" si="74"/>
        <v/>
      </c>
      <c r="AX345" s="609" t="str">
        <f t="shared" si="74"/>
        <v/>
      </c>
      <c r="AY345" s="609" t="str">
        <f t="shared" si="74"/>
        <v/>
      </c>
      <c r="AZ345" s="609" t="str">
        <f t="shared" si="74"/>
        <v/>
      </c>
      <c r="BA345" s="609" t="str">
        <f t="shared" si="73"/>
        <v/>
      </c>
      <c r="BB345" s="609" t="str">
        <f t="shared" si="73"/>
        <v/>
      </c>
      <c r="BC345" s="609" t="str">
        <f t="shared" si="73"/>
        <v/>
      </c>
      <c r="BD345" s="609" t="str">
        <f t="shared" si="71"/>
        <v/>
      </c>
      <c r="BE345" s="609" t="str">
        <f t="shared" si="71"/>
        <v/>
      </c>
      <c r="BF345" s="609" t="str">
        <f t="shared" si="71"/>
        <v/>
      </c>
      <c r="BG345" s="609" t="str">
        <f t="shared" si="71"/>
        <v/>
      </c>
    </row>
    <row r="346" spans="2:59" x14ac:dyDescent="0.25">
      <c r="B346" s="654">
        <v>340</v>
      </c>
      <c r="C346" s="654"/>
      <c r="D346" s="654"/>
      <c r="E346" s="655"/>
      <c r="F346" s="654"/>
      <c r="H346" s="609" t="str">
        <f t="shared" si="76"/>
        <v/>
      </c>
      <c r="I346" s="609" t="str">
        <f t="shared" si="76"/>
        <v/>
      </c>
      <c r="J346" s="609" t="str">
        <f t="shared" si="76"/>
        <v/>
      </c>
      <c r="K346" s="609" t="str">
        <f t="shared" si="76"/>
        <v/>
      </c>
      <c r="L346" s="609" t="str">
        <f t="shared" si="76"/>
        <v/>
      </c>
      <c r="M346" s="609" t="str">
        <f t="shared" si="76"/>
        <v/>
      </c>
      <c r="N346" s="609" t="str">
        <f t="shared" si="76"/>
        <v/>
      </c>
      <c r="O346" s="609" t="str">
        <f t="shared" si="76"/>
        <v/>
      </c>
      <c r="P346" s="609" t="str">
        <f t="shared" si="76"/>
        <v/>
      </c>
      <c r="Q346" s="609" t="str">
        <f t="shared" si="76"/>
        <v/>
      </c>
      <c r="R346" s="609" t="str">
        <f t="shared" si="76"/>
        <v/>
      </c>
      <c r="S346" s="609" t="str">
        <f t="shared" si="76"/>
        <v/>
      </c>
      <c r="T346" s="609" t="str">
        <f t="shared" si="76"/>
        <v/>
      </c>
      <c r="U346" s="609" t="str">
        <f t="shared" si="76"/>
        <v/>
      </c>
      <c r="V346" s="609" t="str">
        <f t="shared" si="76"/>
        <v/>
      </c>
      <c r="W346" s="609" t="str">
        <f t="shared" si="76"/>
        <v/>
      </c>
      <c r="X346" s="609" t="str">
        <f t="shared" si="75"/>
        <v/>
      </c>
      <c r="Y346" s="609" t="str">
        <f t="shared" si="75"/>
        <v/>
      </c>
      <c r="Z346" s="609" t="str">
        <f t="shared" si="75"/>
        <v/>
      </c>
      <c r="AA346" s="609" t="str">
        <f t="shared" si="75"/>
        <v/>
      </c>
      <c r="AB346" s="609" t="str">
        <f t="shared" si="75"/>
        <v/>
      </c>
      <c r="AC346" s="609" t="str">
        <f t="shared" si="75"/>
        <v/>
      </c>
      <c r="AD346" s="609" t="str">
        <f t="shared" si="75"/>
        <v/>
      </c>
      <c r="AE346" s="609" t="str">
        <f t="shared" si="75"/>
        <v/>
      </c>
      <c r="AF346" s="609" t="str">
        <f t="shared" si="75"/>
        <v/>
      </c>
      <c r="AG346" s="609" t="str">
        <f t="shared" si="75"/>
        <v/>
      </c>
      <c r="AH346" s="609" t="str">
        <f t="shared" si="75"/>
        <v/>
      </c>
      <c r="AI346" s="609" t="str">
        <f t="shared" si="75"/>
        <v/>
      </c>
      <c r="AJ346" s="609" t="str">
        <f t="shared" si="75"/>
        <v/>
      </c>
      <c r="AK346" s="609" t="str">
        <f t="shared" si="75"/>
        <v/>
      </c>
      <c r="AL346" s="609" t="str">
        <f t="shared" si="75"/>
        <v/>
      </c>
      <c r="AM346" s="609" t="str">
        <f t="shared" si="74"/>
        <v/>
      </c>
      <c r="AN346" s="609" t="str">
        <f t="shared" si="74"/>
        <v/>
      </c>
      <c r="AO346" s="609" t="str">
        <f t="shared" si="74"/>
        <v/>
      </c>
      <c r="AP346" s="609" t="str">
        <f t="shared" si="74"/>
        <v/>
      </c>
      <c r="AQ346" s="609" t="str">
        <f t="shared" si="74"/>
        <v/>
      </c>
      <c r="AR346" s="609" t="str">
        <f t="shared" si="74"/>
        <v/>
      </c>
      <c r="AS346" s="609" t="str">
        <f t="shared" si="74"/>
        <v/>
      </c>
      <c r="AT346" s="609" t="str">
        <f t="shared" si="74"/>
        <v/>
      </c>
      <c r="AU346" s="609" t="str">
        <f t="shared" si="74"/>
        <v/>
      </c>
      <c r="AV346" s="609" t="str">
        <f t="shared" ref="AV346:BG361" si="77">IF($D346=AV$6,$B346&amp;", ","")</f>
        <v/>
      </c>
      <c r="AW346" s="609" t="str">
        <f t="shared" si="77"/>
        <v/>
      </c>
      <c r="AX346" s="609" t="str">
        <f t="shared" si="77"/>
        <v/>
      </c>
      <c r="AY346" s="609" t="str">
        <f t="shared" si="77"/>
        <v/>
      </c>
      <c r="AZ346" s="609" t="str">
        <f t="shared" si="77"/>
        <v/>
      </c>
      <c r="BA346" s="609" t="str">
        <f t="shared" si="77"/>
        <v/>
      </c>
      <c r="BB346" s="609" t="str">
        <f t="shared" si="77"/>
        <v/>
      </c>
      <c r="BC346" s="609" t="str">
        <f t="shared" si="77"/>
        <v/>
      </c>
      <c r="BD346" s="609" t="str">
        <f t="shared" si="77"/>
        <v/>
      </c>
      <c r="BE346" s="609" t="str">
        <f t="shared" si="77"/>
        <v/>
      </c>
      <c r="BF346" s="609" t="str">
        <f t="shared" si="77"/>
        <v/>
      </c>
      <c r="BG346" s="609" t="str">
        <f t="shared" si="77"/>
        <v/>
      </c>
    </row>
    <row r="347" spans="2:59" x14ac:dyDescent="0.25">
      <c r="B347" s="654">
        <v>341</v>
      </c>
      <c r="C347" s="654"/>
      <c r="D347" s="654"/>
      <c r="E347" s="655"/>
      <c r="F347" s="654"/>
      <c r="H347" s="609" t="str">
        <f t="shared" si="76"/>
        <v/>
      </c>
      <c r="I347" s="609" t="str">
        <f t="shared" si="76"/>
        <v/>
      </c>
      <c r="J347" s="609" t="str">
        <f t="shared" si="76"/>
        <v/>
      </c>
      <c r="K347" s="609" t="str">
        <f t="shared" si="76"/>
        <v/>
      </c>
      <c r="L347" s="609" t="str">
        <f t="shared" si="76"/>
        <v/>
      </c>
      <c r="M347" s="609" t="str">
        <f t="shared" si="76"/>
        <v/>
      </c>
      <c r="N347" s="609" t="str">
        <f t="shared" si="76"/>
        <v/>
      </c>
      <c r="O347" s="609" t="str">
        <f t="shared" si="76"/>
        <v/>
      </c>
      <c r="P347" s="609" t="str">
        <f t="shared" si="76"/>
        <v/>
      </c>
      <c r="Q347" s="609" t="str">
        <f t="shared" si="76"/>
        <v/>
      </c>
      <c r="R347" s="609" t="str">
        <f t="shared" si="76"/>
        <v/>
      </c>
      <c r="S347" s="609" t="str">
        <f t="shared" si="76"/>
        <v/>
      </c>
      <c r="T347" s="609" t="str">
        <f t="shared" si="76"/>
        <v/>
      </c>
      <c r="U347" s="609" t="str">
        <f t="shared" si="76"/>
        <v/>
      </c>
      <c r="V347" s="609" t="str">
        <f t="shared" si="76"/>
        <v/>
      </c>
      <c r="W347" s="609" t="str">
        <f t="shared" si="76"/>
        <v/>
      </c>
      <c r="X347" s="609" t="str">
        <f t="shared" si="75"/>
        <v/>
      </c>
      <c r="Y347" s="609" t="str">
        <f t="shared" si="75"/>
        <v/>
      </c>
      <c r="Z347" s="609" t="str">
        <f t="shared" si="75"/>
        <v/>
      </c>
      <c r="AA347" s="609" t="str">
        <f t="shared" si="75"/>
        <v/>
      </c>
      <c r="AB347" s="609" t="str">
        <f t="shared" si="75"/>
        <v/>
      </c>
      <c r="AC347" s="609" t="str">
        <f t="shared" si="75"/>
        <v/>
      </c>
      <c r="AD347" s="609" t="str">
        <f t="shared" si="75"/>
        <v/>
      </c>
      <c r="AE347" s="609" t="str">
        <f t="shared" si="75"/>
        <v/>
      </c>
      <c r="AF347" s="609" t="str">
        <f t="shared" si="75"/>
        <v/>
      </c>
      <c r="AG347" s="609" t="str">
        <f t="shared" si="75"/>
        <v/>
      </c>
      <c r="AH347" s="609" t="str">
        <f t="shared" si="75"/>
        <v/>
      </c>
      <c r="AI347" s="609" t="str">
        <f t="shared" si="75"/>
        <v/>
      </c>
      <c r="AJ347" s="609" t="str">
        <f t="shared" si="75"/>
        <v/>
      </c>
      <c r="AK347" s="609" t="str">
        <f t="shared" si="75"/>
        <v/>
      </c>
      <c r="AL347" s="609" t="str">
        <f t="shared" si="75"/>
        <v/>
      </c>
      <c r="AM347" s="609" t="str">
        <f t="shared" ref="AM347:BB362" si="78">IF($D347=AM$6,$B347&amp;", ","")</f>
        <v/>
      </c>
      <c r="AN347" s="609" t="str">
        <f t="shared" si="78"/>
        <v/>
      </c>
      <c r="AO347" s="609" t="str">
        <f t="shared" si="78"/>
        <v/>
      </c>
      <c r="AP347" s="609" t="str">
        <f t="shared" si="78"/>
        <v/>
      </c>
      <c r="AQ347" s="609" t="str">
        <f t="shared" si="78"/>
        <v/>
      </c>
      <c r="AR347" s="609" t="str">
        <f t="shared" si="78"/>
        <v/>
      </c>
      <c r="AS347" s="609" t="str">
        <f t="shared" si="78"/>
        <v/>
      </c>
      <c r="AT347" s="609" t="str">
        <f t="shared" si="78"/>
        <v/>
      </c>
      <c r="AU347" s="609" t="str">
        <f t="shared" si="78"/>
        <v/>
      </c>
      <c r="AV347" s="609" t="str">
        <f t="shared" si="78"/>
        <v/>
      </c>
      <c r="AW347" s="609" t="str">
        <f t="shared" si="78"/>
        <v/>
      </c>
      <c r="AX347" s="609" t="str">
        <f t="shared" si="78"/>
        <v/>
      </c>
      <c r="AY347" s="609" t="str">
        <f t="shared" si="78"/>
        <v/>
      </c>
      <c r="AZ347" s="609" t="str">
        <f t="shared" si="78"/>
        <v/>
      </c>
      <c r="BA347" s="609" t="str">
        <f t="shared" si="78"/>
        <v/>
      </c>
      <c r="BB347" s="609" t="str">
        <f t="shared" si="78"/>
        <v/>
      </c>
      <c r="BC347" s="609" t="str">
        <f t="shared" si="77"/>
        <v/>
      </c>
      <c r="BD347" s="609" t="str">
        <f t="shared" si="77"/>
        <v/>
      </c>
      <c r="BE347" s="609" t="str">
        <f t="shared" si="77"/>
        <v/>
      </c>
      <c r="BF347" s="609" t="str">
        <f t="shared" si="77"/>
        <v/>
      </c>
      <c r="BG347" s="609" t="str">
        <f t="shared" si="77"/>
        <v/>
      </c>
    </row>
    <row r="348" spans="2:59" x14ac:dyDescent="0.25">
      <c r="B348" s="654">
        <v>342</v>
      </c>
      <c r="C348" s="654"/>
      <c r="D348" s="654"/>
      <c r="E348" s="655"/>
      <c r="F348" s="654"/>
      <c r="H348" s="609" t="str">
        <f t="shared" si="76"/>
        <v/>
      </c>
      <c r="I348" s="609" t="str">
        <f t="shared" si="76"/>
        <v/>
      </c>
      <c r="J348" s="609" t="str">
        <f t="shared" si="76"/>
        <v/>
      </c>
      <c r="K348" s="609" t="str">
        <f t="shared" si="76"/>
        <v/>
      </c>
      <c r="L348" s="609" t="str">
        <f t="shared" si="76"/>
        <v/>
      </c>
      <c r="M348" s="609" t="str">
        <f t="shared" si="76"/>
        <v/>
      </c>
      <c r="N348" s="609" t="str">
        <f t="shared" si="76"/>
        <v/>
      </c>
      <c r="O348" s="609" t="str">
        <f t="shared" si="76"/>
        <v/>
      </c>
      <c r="P348" s="609" t="str">
        <f t="shared" si="76"/>
        <v/>
      </c>
      <c r="Q348" s="609" t="str">
        <f t="shared" si="76"/>
        <v/>
      </c>
      <c r="R348" s="609" t="str">
        <f t="shared" si="76"/>
        <v/>
      </c>
      <c r="S348" s="609" t="str">
        <f t="shared" si="76"/>
        <v/>
      </c>
      <c r="T348" s="609" t="str">
        <f t="shared" si="76"/>
        <v/>
      </c>
      <c r="U348" s="609" t="str">
        <f t="shared" si="76"/>
        <v/>
      </c>
      <c r="V348" s="609" t="str">
        <f t="shared" si="76"/>
        <v/>
      </c>
      <c r="W348" s="609" t="str">
        <f t="shared" si="76"/>
        <v/>
      </c>
      <c r="X348" s="609" t="str">
        <f t="shared" si="75"/>
        <v/>
      </c>
      <c r="Y348" s="609" t="str">
        <f t="shared" si="75"/>
        <v/>
      </c>
      <c r="Z348" s="609" t="str">
        <f t="shared" si="75"/>
        <v/>
      </c>
      <c r="AA348" s="609" t="str">
        <f t="shared" si="75"/>
        <v/>
      </c>
      <c r="AB348" s="609" t="str">
        <f t="shared" si="75"/>
        <v/>
      </c>
      <c r="AC348" s="609" t="str">
        <f t="shared" si="75"/>
        <v/>
      </c>
      <c r="AD348" s="609" t="str">
        <f t="shared" si="75"/>
        <v/>
      </c>
      <c r="AE348" s="609" t="str">
        <f t="shared" si="75"/>
        <v/>
      </c>
      <c r="AF348" s="609" t="str">
        <f t="shared" si="75"/>
        <v/>
      </c>
      <c r="AG348" s="609" t="str">
        <f t="shared" si="75"/>
        <v/>
      </c>
      <c r="AH348" s="609" t="str">
        <f t="shared" si="75"/>
        <v/>
      </c>
      <c r="AI348" s="609" t="str">
        <f t="shared" si="75"/>
        <v/>
      </c>
      <c r="AJ348" s="609" t="str">
        <f t="shared" si="75"/>
        <v/>
      </c>
      <c r="AK348" s="609" t="str">
        <f t="shared" si="75"/>
        <v/>
      </c>
      <c r="AL348" s="609" t="str">
        <f t="shared" si="75"/>
        <v/>
      </c>
      <c r="AM348" s="609" t="str">
        <f t="shared" si="78"/>
        <v/>
      </c>
      <c r="AN348" s="609" t="str">
        <f t="shared" si="78"/>
        <v/>
      </c>
      <c r="AO348" s="609" t="str">
        <f t="shared" si="78"/>
        <v/>
      </c>
      <c r="AP348" s="609" t="str">
        <f t="shared" si="78"/>
        <v/>
      </c>
      <c r="AQ348" s="609" t="str">
        <f t="shared" si="78"/>
        <v/>
      </c>
      <c r="AR348" s="609" t="str">
        <f t="shared" si="78"/>
        <v/>
      </c>
      <c r="AS348" s="609" t="str">
        <f t="shared" si="78"/>
        <v/>
      </c>
      <c r="AT348" s="609" t="str">
        <f t="shared" si="78"/>
        <v/>
      </c>
      <c r="AU348" s="609" t="str">
        <f t="shared" si="78"/>
        <v/>
      </c>
      <c r="AV348" s="609" t="str">
        <f t="shared" si="78"/>
        <v/>
      </c>
      <c r="AW348" s="609" t="str">
        <f t="shared" si="78"/>
        <v/>
      </c>
      <c r="AX348" s="609" t="str">
        <f t="shared" si="78"/>
        <v/>
      </c>
      <c r="AY348" s="609" t="str">
        <f t="shared" si="78"/>
        <v/>
      </c>
      <c r="AZ348" s="609" t="str">
        <f t="shared" si="78"/>
        <v/>
      </c>
      <c r="BA348" s="609" t="str">
        <f t="shared" si="78"/>
        <v/>
      </c>
      <c r="BB348" s="609" t="str">
        <f t="shared" si="78"/>
        <v/>
      </c>
      <c r="BC348" s="609" t="str">
        <f t="shared" si="77"/>
        <v/>
      </c>
      <c r="BD348" s="609" t="str">
        <f t="shared" si="77"/>
        <v/>
      </c>
      <c r="BE348" s="609" t="str">
        <f t="shared" si="77"/>
        <v/>
      </c>
      <c r="BF348" s="609" t="str">
        <f t="shared" si="77"/>
        <v/>
      </c>
      <c r="BG348" s="609" t="str">
        <f t="shared" si="77"/>
        <v/>
      </c>
    </row>
    <row r="349" spans="2:59" x14ac:dyDescent="0.25">
      <c r="B349" s="654">
        <v>343</v>
      </c>
      <c r="C349" s="654"/>
      <c r="D349" s="654"/>
      <c r="E349" s="655"/>
      <c r="F349" s="654"/>
      <c r="H349" s="609" t="str">
        <f t="shared" si="76"/>
        <v/>
      </c>
      <c r="I349" s="609" t="str">
        <f t="shared" si="76"/>
        <v/>
      </c>
      <c r="J349" s="609" t="str">
        <f t="shared" si="76"/>
        <v/>
      </c>
      <c r="K349" s="609" t="str">
        <f t="shared" si="76"/>
        <v/>
      </c>
      <c r="L349" s="609" t="str">
        <f t="shared" si="76"/>
        <v/>
      </c>
      <c r="M349" s="609" t="str">
        <f t="shared" si="76"/>
        <v/>
      </c>
      <c r="N349" s="609" t="str">
        <f t="shared" si="76"/>
        <v/>
      </c>
      <c r="O349" s="609" t="str">
        <f t="shared" si="76"/>
        <v/>
      </c>
      <c r="P349" s="609" t="str">
        <f t="shared" si="76"/>
        <v/>
      </c>
      <c r="Q349" s="609" t="str">
        <f t="shared" si="76"/>
        <v/>
      </c>
      <c r="R349" s="609" t="str">
        <f t="shared" si="76"/>
        <v/>
      </c>
      <c r="S349" s="609" t="str">
        <f t="shared" si="76"/>
        <v/>
      </c>
      <c r="T349" s="609" t="str">
        <f t="shared" si="76"/>
        <v/>
      </c>
      <c r="U349" s="609" t="str">
        <f t="shared" si="76"/>
        <v/>
      </c>
      <c r="V349" s="609" t="str">
        <f t="shared" si="76"/>
        <v/>
      </c>
      <c r="W349" s="609" t="str">
        <f t="shared" si="76"/>
        <v/>
      </c>
      <c r="X349" s="609" t="str">
        <f t="shared" si="75"/>
        <v/>
      </c>
      <c r="Y349" s="609" t="str">
        <f t="shared" si="75"/>
        <v/>
      </c>
      <c r="Z349" s="609" t="str">
        <f t="shared" si="75"/>
        <v/>
      </c>
      <c r="AA349" s="609" t="str">
        <f t="shared" si="75"/>
        <v/>
      </c>
      <c r="AB349" s="609" t="str">
        <f t="shared" si="75"/>
        <v/>
      </c>
      <c r="AC349" s="609" t="str">
        <f t="shared" si="75"/>
        <v/>
      </c>
      <c r="AD349" s="609" t="str">
        <f t="shared" si="75"/>
        <v/>
      </c>
      <c r="AE349" s="609" t="str">
        <f t="shared" si="75"/>
        <v/>
      </c>
      <c r="AF349" s="609" t="str">
        <f t="shared" si="75"/>
        <v/>
      </c>
      <c r="AG349" s="609" t="str">
        <f t="shared" si="75"/>
        <v/>
      </c>
      <c r="AH349" s="609" t="str">
        <f t="shared" si="75"/>
        <v/>
      </c>
      <c r="AI349" s="609" t="str">
        <f t="shared" si="75"/>
        <v/>
      </c>
      <c r="AJ349" s="609" t="str">
        <f t="shared" si="75"/>
        <v/>
      </c>
      <c r="AK349" s="609" t="str">
        <f t="shared" si="75"/>
        <v/>
      </c>
      <c r="AL349" s="609" t="str">
        <f t="shared" si="75"/>
        <v/>
      </c>
      <c r="AM349" s="609" t="str">
        <f t="shared" si="78"/>
        <v/>
      </c>
      <c r="AN349" s="609" t="str">
        <f t="shared" si="78"/>
        <v/>
      </c>
      <c r="AO349" s="609" t="str">
        <f t="shared" si="78"/>
        <v/>
      </c>
      <c r="AP349" s="609" t="str">
        <f t="shared" si="78"/>
        <v/>
      </c>
      <c r="AQ349" s="609" t="str">
        <f t="shared" si="78"/>
        <v/>
      </c>
      <c r="AR349" s="609" t="str">
        <f t="shared" si="78"/>
        <v/>
      </c>
      <c r="AS349" s="609" t="str">
        <f t="shared" si="78"/>
        <v/>
      </c>
      <c r="AT349" s="609" t="str">
        <f t="shared" si="78"/>
        <v/>
      </c>
      <c r="AU349" s="609" t="str">
        <f t="shared" si="78"/>
        <v/>
      </c>
      <c r="AV349" s="609" t="str">
        <f t="shared" si="78"/>
        <v/>
      </c>
      <c r="AW349" s="609" t="str">
        <f t="shared" si="78"/>
        <v/>
      </c>
      <c r="AX349" s="609" t="str">
        <f t="shared" si="78"/>
        <v/>
      </c>
      <c r="AY349" s="609" t="str">
        <f t="shared" si="78"/>
        <v/>
      </c>
      <c r="AZ349" s="609" t="str">
        <f t="shared" si="78"/>
        <v/>
      </c>
      <c r="BA349" s="609" t="str">
        <f t="shared" si="78"/>
        <v/>
      </c>
      <c r="BB349" s="609" t="str">
        <f t="shared" si="78"/>
        <v/>
      </c>
      <c r="BC349" s="609" t="str">
        <f t="shared" si="77"/>
        <v/>
      </c>
      <c r="BD349" s="609" t="str">
        <f t="shared" si="77"/>
        <v/>
      </c>
      <c r="BE349" s="609" t="str">
        <f t="shared" si="77"/>
        <v/>
      </c>
      <c r="BF349" s="609" t="str">
        <f t="shared" si="77"/>
        <v/>
      </c>
      <c r="BG349" s="609" t="str">
        <f t="shared" si="77"/>
        <v/>
      </c>
    </row>
    <row r="350" spans="2:59" x14ac:dyDescent="0.25">
      <c r="B350" s="654">
        <v>344</v>
      </c>
      <c r="C350" s="654"/>
      <c r="D350" s="654"/>
      <c r="E350" s="655"/>
      <c r="F350" s="654"/>
      <c r="H350" s="609" t="str">
        <f t="shared" si="76"/>
        <v/>
      </c>
      <c r="I350" s="609" t="str">
        <f t="shared" si="76"/>
        <v/>
      </c>
      <c r="J350" s="609" t="str">
        <f t="shared" si="76"/>
        <v/>
      </c>
      <c r="K350" s="609" t="str">
        <f t="shared" si="76"/>
        <v/>
      </c>
      <c r="L350" s="609" t="str">
        <f t="shared" si="76"/>
        <v/>
      </c>
      <c r="M350" s="609" t="str">
        <f t="shared" si="76"/>
        <v/>
      </c>
      <c r="N350" s="609" t="str">
        <f t="shared" si="76"/>
        <v/>
      </c>
      <c r="O350" s="609" t="str">
        <f t="shared" si="76"/>
        <v/>
      </c>
      <c r="P350" s="609" t="str">
        <f t="shared" si="76"/>
        <v/>
      </c>
      <c r="Q350" s="609" t="str">
        <f t="shared" si="76"/>
        <v/>
      </c>
      <c r="R350" s="609" t="str">
        <f t="shared" si="76"/>
        <v/>
      </c>
      <c r="S350" s="609" t="str">
        <f t="shared" si="76"/>
        <v/>
      </c>
      <c r="T350" s="609" t="str">
        <f t="shared" si="76"/>
        <v/>
      </c>
      <c r="U350" s="609" t="str">
        <f t="shared" si="76"/>
        <v/>
      </c>
      <c r="V350" s="609" t="str">
        <f t="shared" si="76"/>
        <v/>
      </c>
      <c r="W350" s="609" t="str">
        <f t="shared" si="76"/>
        <v/>
      </c>
      <c r="X350" s="609" t="str">
        <f t="shared" si="75"/>
        <v/>
      </c>
      <c r="Y350" s="609" t="str">
        <f t="shared" si="75"/>
        <v/>
      </c>
      <c r="Z350" s="609" t="str">
        <f t="shared" si="75"/>
        <v/>
      </c>
      <c r="AA350" s="609" t="str">
        <f t="shared" si="75"/>
        <v/>
      </c>
      <c r="AB350" s="609" t="str">
        <f t="shared" si="75"/>
        <v/>
      </c>
      <c r="AC350" s="609" t="str">
        <f t="shared" si="75"/>
        <v/>
      </c>
      <c r="AD350" s="609" t="str">
        <f t="shared" si="75"/>
        <v/>
      </c>
      <c r="AE350" s="609" t="str">
        <f t="shared" si="75"/>
        <v/>
      </c>
      <c r="AF350" s="609" t="str">
        <f t="shared" si="75"/>
        <v/>
      </c>
      <c r="AG350" s="609" t="str">
        <f t="shared" si="75"/>
        <v/>
      </c>
      <c r="AH350" s="609" t="str">
        <f t="shared" si="75"/>
        <v/>
      </c>
      <c r="AI350" s="609" t="str">
        <f t="shared" si="75"/>
        <v/>
      </c>
      <c r="AJ350" s="609" t="str">
        <f t="shared" si="75"/>
        <v/>
      </c>
      <c r="AK350" s="609" t="str">
        <f t="shared" si="75"/>
        <v/>
      </c>
      <c r="AL350" s="609" t="str">
        <f t="shared" si="75"/>
        <v/>
      </c>
      <c r="AM350" s="609" t="str">
        <f t="shared" si="78"/>
        <v/>
      </c>
      <c r="AN350" s="609" t="str">
        <f t="shared" si="78"/>
        <v/>
      </c>
      <c r="AO350" s="609" t="str">
        <f t="shared" si="78"/>
        <v/>
      </c>
      <c r="AP350" s="609" t="str">
        <f t="shared" si="78"/>
        <v/>
      </c>
      <c r="AQ350" s="609" t="str">
        <f t="shared" si="78"/>
        <v/>
      </c>
      <c r="AR350" s="609" t="str">
        <f t="shared" si="78"/>
        <v/>
      </c>
      <c r="AS350" s="609" t="str">
        <f t="shared" si="78"/>
        <v/>
      </c>
      <c r="AT350" s="609" t="str">
        <f t="shared" si="78"/>
        <v/>
      </c>
      <c r="AU350" s="609" t="str">
        <f t="shared" si="78"/>
        <v/>
      </c>
      <c r="AV350" s="609" t="str">
        <f t="shared" si="78"/>
        <v/>
      </c>
      <c r="AW350" s="609" t="str">
        <f t="shared" si="78"/>
        <v/>
      </c>
      <c r="AX350" s="609" t="str">
        <f t="shared" si="78"/>
        <v/>
      </c>
      <c r="AY350" s="609" t="str">
        <f t="shared" si="78"/>
        <v/>
      </c>
      <c r="AZ350" s="609" t="str">
        <f t="shared" si="78"/>
        <v/>
      </c>
      <c r="BA350" s="609" t="str">
        <f t="shared" si="78"/>
        <v/>
      </c>
      <c r="BB350" s="609" t="str">
        <f t="shared" si="78"/>
        <v/>
      </c>
      <c r="BC350" s="609" t="str">
        <f t="shared" si="77"/>
        <v/>
      </c>
      <c r="BD350" s="609" t="str">
        <f t="shared" si="77"/>
        <v/>
      </c>
      <c r="BE350" s="609" t="str">
        <f t="shared" si="77"/>
        <v/>
      </c>
      <c r="BF350" s="609" t="str">
        <f t="shared" si="77"/>
        <v/>
      </c>
      <c r="BG350" s="609" t="str">
        <f t="shared" si="77"/>
        <v/>
      </c>
    </row>
    <row r="351" spans="2:59" x14ac:dyDescent="0.25">
      <c r="B351" s="654">
        <v>345</v>
      </c>
      <c r="C351" s="654"/>
      <c r="D351" s="654"/>
      <c r="E351" s="655"/>
      <c r="F351" s="654"/>
      <c r="H351" s="609" t="str">
        <f t="shared" si="76"/>
        <v/>
      </c>
      <c r="I351" s="609" t="str">
        <f t="shared" si="76"/>
        <v/>
      </c>
      <c r="J351" s="609" t="str">
        <f t="shared" si="76"/>
        <v/>
      </c>
      <c r="K351" s="609" t="str">
        <f t="shared" si="76"/>
        <v/>
      </c>
      <c r="L351" s="609" t="str">
        <f t="shared" si="76"/>
        <v/>
      </c>
      <c r="M351" s="609" t="str">
        <f t="shared" si="76"/>
        <v/>
      </c>
      <c r="N351" s="609" t="str">
        <f t="shared" si="76"/>
        <v/>
      </c>
      <c r="O351" s="609" t="str">
        <f t="shared" si="76"/>
        <v/>
      </c>
      <c r="P351" s="609" t="str">
        <f t="shared" si="76"/>
        <v/>
      </c>
      <c r="Q351" s="609" t="str">
        <f t="shared" si="76"/>
        <v/>
      </c>
      <c r="R351" s="609" t="str">
        <f t="shared" si="76"/>
        <v/>
      </c>
      <c r="S351" s="609" t="str">
        <f t="shared" si="76"/>
        <v/>
      </c>
      <c r="T351" s="609" t="str">
        <f t="shared" si="76"/>
        <v/>
      </c>
      <c r="U351" s="609" t="str">
        <f t="shared" si="76"/>
        <v/>
      </c>
      <c r="V351" s="609" t="str">
        <f t="shared" si="76"/>
        <v/>
      </c>
      <c r="W351" s="609" t="str">
        <f t="shared" si="76"/>
        <v/>
      </c>
      <c r="X351" s="609" t="str">
        <f t="shared" si="75"/>
        <v/>
      </c>
      <c r="Y351" s="609" t="str">
        <f t="shared" si="75"/>
        <v/>
      </c>
      <c r="Z351" s="609" t="str">
        <f t="shared" si="75"/>
        <v/>
      </c>
      <c r="AA351" s="609" t="str">
        <f t="shared" si="75"/>
        <v/>
      </c>
      <c r="AB351" s="609" t="str">
        <f t="shared" si="75"/>
        <v/>
      </c>
      <c r="AC351" s="609" t="str">
        <f t="shared" si="75"/>
        <v/>
      </c>
      <c r="AD351" s="609" t="str">
        <f t="shared" si="75"/>
        <v/>
      </c>
      <c r="AE351" s="609" t="str">
        <f t="shared" si="75"/>
        <v/>
      </c>
      <c r="AF351" s="609" t="str">
        <f t="shared" si="75"/>
        <v/>
      </c>
      <c r="AG351" s="609" t="str">
        <f t="shared" si="75"/>
        <v/>
      </c>
      <c r="AH351" s="609" t="str">
        <f t="shared" si="75"/>
        <v/>
      </c>
      <c r="AI351" s="609" t="str">
        <f t="shared" si="75"/>
        <v/>
      </c>
      <c r="AJ351" s="609" t="str">
        <f t="shared" si="75"/>
        <v/>
      </c>
      <c r="AK351" s="609" t="str">
        <f t="shared" si="75"/>
        <v/>
      </c>
      <c r="AL351" s="609" t="str">
        <f t="shared" si="75"/>
        <v/>
      </c>
      <c r="AM351" s="609" t="str">
        <f t="shared" si="78"/>
        <v/>
      </c>
      <c r="AN351" s="609" t="str">
        <f t="shared" si="78"/>
        <v/>
      </c>
      <c r="AO351" s="609" t="str">
        <f t="shared" si="78"/>
        <v/>
      </c>
      <c r="AP351" s="609" t="str">
        <f t="shared" si="78"/>
        <v/>
      </c>
      <c r="AQ351" s="609" t="str">
        <f t="shared" si="78"/>
        <v/>
      </c>
      <c r="AR351" s="609" t="str">
        <f t="shared" si="78"/>
        <v/>
      </c>
      <c r="AS351" s="609" t="str">
        <f t="shared" si="78"/>
        <v/>
      </c>
      <c r="AT351" s="609" t="str">
        <f t="shared" si="78"/>
        <v/>
      </c>
      <c r="AU351" s="609" t="str">
        <f t="shared" si="78"/>
        <v/>
      </c>
      <c r="AV351" s="609" t="str">
        <f t="shared" si="78"/>
        <v/>
      </c>
      <c r="AW351" s="609" t="str">
        <f t="shared" si="78"/>
        <v/>
      </c>
      <c r="AX351" s="609" t="str">
        <f t="shared" si="78"/>
        <v/>
      </c>
      <c r="AY351" s="609" t="str">
        <f t="shared" si="78"/>
        <v/>
      </c>
      <c r="AZ351" s="609" t="str">
        <f t="shared" si="78"/>
        <v/>
      </c>
      <c r="BA351" s="609" t="str">
        <f t="shared" si="78"/>
        <v/>
      </c>
      <c r="BB351" s="609" t="str">
        <f t="shared" si="78"/>
        <v/>
      </c>
      <c r="BC351" s="609" t="str">
        <f t="shared" si="77"/>
        <v/>
      </c>
      <c r="BD351" s="609" t="str">
        <f t="shared" si="77"/>
        <v/>
      </c>
      <c r="BE351" s="609" t="str">
        <f t="shared" si="77"/>
        <v/>
      </c>
      <c r="BF351" s="609" t="str">
        <f t="shared" si="77"/>
        <v/>
      </c>
      <c r="BG351" s="609" t="str">
        <f t="shared" si="77"/>
        <v/>
      </c>
    </row>
    <row r="352" spans="2:59" x14ac:dyDescent="0.25">
      <c r="B352" s="654">
        <v>346</v>
      </c>
      <c r="C352" s="654"/>
      <c r="D352" s="654"/>
      <c r="E352" s="655"/>
      <c r="F352" s="654"/>
      <c r="H352" s="609" t="str">
        <f t="shared" si="76"/>
        <v/>
      </c>
      <c r="I352" s="609" t="str">
        <f t="shared" si="76"/>
        <v/>
      </c>
      <c r="J352" s="609" t="str">
        <f t="shared" si="76"/>
        <v/>
      </c>
      <c r="K352" s="609" t="str">
        <f t="shared" si="76"/>
        <v/>
      </c>
      <c r="L352" s="609" t="str">
        <f t="shared" si="76"/>
        <v/>
      </c>
      <c r="M352" s="609" t="str">
        <f t="shared" si="76"/>
        <v/>
      </c>
      <c r="N352" s="609" t="str">
        <f t="shared" si="76"/>
        <v/>
      </c>
      <c r="O352" s="609" t="str">
        <f t="shared" si="76"/>
        <v/>
      </c>
      <c r="P352" s="609" t="str">
        <f t="shared" si="76"/>
        <v/>
      </c>
      <c r="Q352" s="609" t="str">
        <f t="shared" si="76"/>
        <v/>
      </c>
      <c r="R352" s="609" t="str">
        <f t="shared" si="76"/>
        <v/>
      </c>
      <c r="S352" s="609" t="str">
        <f t="shared" si="76"/>
        <v/>
      </c>
      <c r="T352" s="609" t="str">
        <f t="shared" si="76"/>
        <v/>
      </c>
      <c r="U352" s="609" t="str">
        <f t="shared" si="76"/>
        <v/>
      </c>
      <c r="V352" s="609" t="str">
        <f t="shared" si="76"/>
        <v/>
      </c>
      <c r="W352" s="609" t="str">
        <f t="shared" si="76"/>
        <v/>
      </c>
      <c r="X352" s="609" t="str">
        <f t="shared" si="75"/>
        <v/>
      </c>
      <c r="Y352" s="609" t="str">
        <f t="shared" si="75"/>
        <v/>
      </c>
      <c r="Z352" s="609" t="str">
        <f t="shared" si="75"/>
        <v/>
      </c>
      <c r="AA352" s="609" t="str">
        <f t="shared" si="75"/>
        <v/>
      </c>
      <c r="AB352" s="609" t="str">
        <f t="shared" si="75"/>
        <v/>
      </c>
      <c r="AC352" s="609" t="str">
        <f t="shared" si="75"/>
        <v/>
      </c>
      <c r="AD352" s="609" t="str">
        <f t="shared" si="75"/>
        <v/>
      </c>
      <c r="AE352" s="609" t="str">
        <f t="shared" si="75"/>
        <v/>
      </c>
      <c r="AF352" s="609" t="str">
        <f t="shared" si="75"/>
        <v/>
      </c>
      <c r="AG352" s="609" t="str">
        <f t="shared" si="75"/>
        <v/>
      </c>
      <c r="AH352" s="609" t="str">
        <f t="shared" si="75"/>
        <v/>
      </c>
      <c r="AI352" s="609" t="str">
        <f t="shared" si="75"/>
        <v/>
      </c>
      <c r="AJ352" s="609" t="str">
        <f t="shared" si="75"/>
        <v/>
      </c>
      <c r="AK352" s="609" t="str">
        <f t="shared" si="75"/>
        <v/>
      </c>
      <c r="AL352" s="609" t="str">
        <f t="shared" si="75"/>
        <v/>
      </c>
      <c r="AM352" s="609" t="str">
        <f t="shared" si="78"/>
        <v/>
      </c>
      <c r="AN352" s="609" t="str">
        <f t="shared" si="78"/>
        <v/>
      </c>
      <c r="AO352" s="609" t="str">
        <f t="shared" si="78"/>
        <v/>
      </c>
      <c r="AP352" s="609" t="str">
        <f t="shared" si="78"/>
        <v/>
      </c>
      <c r="AQ352" s="609" t="str">
        <f t="shared" si="78"/>
        <v/>
      </c>
      <c r="AR352" s="609" t="str">
        <f t="shared" si="78"/>
        <v/>
      </c>
      <c r="AS352" s="609" t="str">
        <f t="shared" si="78"/>
        <v/>
      </c>
      <c r="AT352" s="609" t="str">
        <f t="shared" si="78"/>
        <v/>
      </c>
      <c r="AU352" s="609" t="str">
        <f t="shared" si="78"/>
        <v/>
      </c>
      <c r="AV352" s="609" t="str">
        <f t="shared" si="78"/>
        <v/>
      </c>
      <c r="AW352" s="609" t="str">
        <f t="shared" si="78"/>
        <v/>
      </c>
      <c r="AX352" s="609" t="str">
        <f t="shared" si="78"/>
        <v/>
      </c>
      <c r="AY352" s="609" t="str">
        <f t="shared" si="78"/>
        <v/>
      </c>
      <c r="AZ352" s="609" t="str">
        <f t="shared" si="78"/>
        <v/>
      </c>
      <c r="BA352" s="609" t="str">
        <f t="shared" si="78"/>
        <v/>
      </c>
      <c r="BB352" s="609" t="str">
        <f t="shared" si="78"/>
        <v/>
      </c>
      <c r="BC352" s="609" t="str">
        <f t="shared" si="77"/>
        <v/>
      </c>
      <c r="BD352" s="609" t="str">
        <f t="shared" si="77"/>
        <v/>
      </c>
      <c r="BE352" s="609" t="str">
        <f t="shared" si="77"/>
        <v/>
      </c>
      <c r="BF352" s="609" t="str">
        <f t="shared" si="77"/>
        <v/>
      </c>
      <c r="BG352" s="609" t="str">
        <f t="shared" si="77"/>
        <v/>
      </c>
    </row>
    <row r="353" spans="2:59" x14ac:dyDescent="0.25">
      <c r="B353" s="654">
        <v>347</v>
      </c>
      <c r="C353" s="654"/>
      <c r="D353" s="654"/>
      <c r="E353" s="655"/>
      <c r="F353" s="654"/>
      <c r="H353" s="609" t="str">
        <f t="shared" si="76"/>
        <v/>
      </c>
      <c r="I353" s="609" t="str">
        <f t="shared" si="76"/>
        <v/>
      </c>
      <c r="J353" s="609" t="str">
        <f t="shared" si="76"/>
        <v/>
      </c>
      <c r="K353" s="609" t="str">
        <f t="shared" si="76"/>
        <v/>
      </c>
      <c r="L353" s="609" t="str">
        <f t="shared" si="76"/>
        <v/>
      </c>
      <c r="M353" s="609" t="str">
        <f t="shared" si="76"/>
        <v/>
      </c>
      <c r="N353" s="609" t="str">
        <f t="shared" si="76"/>
        <v/>
      </c>
      <c r="O353" s="609" t="str">
        <f t="shared" si="76"/>
        <v/>
      </c>
      <c r="P353" s="609" t="str">
        <f t="shared" si="76"/>
        <v/>
      </c>
      <c r="Q353" s="609" t="str">
        <f t="shared" si="76"/>
        <v/>
      </c>
      <c r="R353" s="609" t="str">
        <f t="shared" si="76"/>
        <v/>
      </c>
      <c r="S353" s="609" t="str">
        <f t="shared" si="76"/>
        <v/>
      </c>
      <c r="T353" s="609" t="str">
        <f t="shared" si="76"/>
        <v/>
      </c>
      <c r="U353" s="609" t="str">
        <f t="shared" si="76"/>
        <v/>
      </c>
      <c r="V353" s="609" t="str">
        <f t="shared" si="76"/>
        <v/>
      </c>
      <c r="W353" s="609" t="str">
        <f t="shared" si="76"/>
        <v/>
      </c>
      <c r="X353" s="609" t="str">
        <f t="shared" si="75"/>
        <v/>
      </c>
      <c r="Y353" s="609" t="str">
        <f t="shared" si="75"/>
        <v/>
      </c>
      <c r="Z353" s="609" t="str">
        <f t="shared" si="75"/>
        <v/>
      </c>
      <c r="AA353" s="609" t="str">
        <f t="shared" si="75"/>
        <v/>
      </c>
      <c r="AB353" s="609" t="str">
        <f t="shared" si="75"/>
        <v/>
      </c>
      <c r="AC353" s="609" t="str">
        <f t="shared" si="75"/>
        <v/>
      </c>
      <c r="AD353" s="609" t="str">
        <f t="shared" si="75"/>
        <v/>
      </c>
      <c r="AE353" s="609" t="str">
        <f t="shared" si="75"/>
        <v/>
      </c>
      <c r="AF353" s="609" t="str">
        <f t="shared" si="75"/>
        <v/>
      </c>
      <c r="AG353" s="609" t="str">
        <f t="shared" si="75"/>
        <v/>
      </c>
      <c r="AH353" s="609" t="str">
        <f t="shared" si="75"/>
        <v/>
      </c>
      <c r="AI353" s="609" t="str">
        <f t="shared" si="75"/>
        <v/>
      </c>
      <c r="AJ353" s="609" t="str">
        <f t="shared" si="75"/>
        <v/>
      </c>
      <c r="AK353" s="609" t="str">
        <f t="shared" si="75"/>
        <v/>
      </c>
      <c r="AL353" s="609" t="str">
        <f t="shared" si="75"/>
        <v/>
      </c>
      <c r="AM353" s="609" t="str">
        <f t="shared" si="78"/>
        <v/>
      </c>
      <c r="AN353" s="609" t="str">
        <f t="shared" si="78"/>
        <v/>
      </c>
      <c r="AO353" s="609" t="str">
        <f t="shared" si="78"/>
        <v/>
      </c>
      <c r="AP353" s="609" t="str">
        <f t="shared" si="78"/>
        <v/>
      </c>
      <c r="AQ353" s="609" t="str">
        <f t="shared" si="78"/>
        <v/>
      </c>
      <c r="AR353" s="609" t="str">
        <f t="shared" si="78"/>
        <v/>
      </c>
      <c r="AS353" s="609" t="str">
        <f t="shared" si="78"/>
        <v/>
      </c>
      <c r="AT353" s="609" t="str">
        <f t="shared" si="78"/>
        <v/>
      </c>
      <c r="AU353" s="609" t="str">
        <f t="shared" si="78"/>
        <v/>
      </c>
      <c r="AV353" s="609" t="str">
        <f t="shared" si="78"/>
        <v/>
      </c>
      <c r="AW353" s="609" t="str">
        <f t="shared" si="78"/>
        <v/>
      </c>
      <c r="AX353" s="609" t="str">
        <f t="shared" si="78"/>
        <v/>
      </c>
      <c r="AY353" s="609" t="str">
        <f t="shared" si="78"/>
        <v/>
      </c>
      <c r="AZ353" s="609" t="str">
        <f t="shared" si="78"/>
        <v/>
      </c>
      <c r="BA353" s="609" t="str">
        <f t="shared" si="78"/>
        <v/>
      </c>
      <c r="BB353" s="609" t="str">
        <f t="shared" si="78"/>
        <v/>
      </c>
      <c r="BC353" s="609" t="str">
        <f t="shared" si="77"/>
        <v/>
      </c>
      <c r="BD353" s="609" t="str">
        <f t="shared" si="77"/>
        <v/>
      </c>
      <c r="BE353" s="609" t="str">
        <f t="shared" si="77"/>
        <v/>
      </c>
      <c r="BF353" s="609" t="str">
        <f t="shared" si="77"/>
        <v/>
      </c>
      <c r="BG353" s="609" t="str">
        <f t="shared" si="77"/>
        <v/>
      </c>
    </row>
    <row r="354" spans="2:59" x14ac:dyDescent="0.25">
      <c r="B354" s="654">
        <v>348</v>
      </c>
      <c r="C354" s="654"/>
      <c r="D354" s="654"/>
      <c r="E354" s="655"/>
      <c r="F354" s="654"/>
      <c r="H354" s="609" t="str">
        <f t="shared" si="76"/>
        <v/>
      </c>
      <c r="I354" s="609" t="str">
        <f t="shared" si="76"/>
        <v/>
      </c>
      <c r="J354" s="609" t="str">
        <f t="shared" si="76"/>
        <v/>
      </c>
      <c r="K354" s="609" t="str">
        <f t="shared" si="76"/>
        <v/>
      </c>
      <c r="L354" s="609" t="str">
        <f t="shared" si="76"/>
        <v/>
      </c>
      <c r="M354" s="609" t="str">
        <f t="shared" si="76"/>
        <v/>
      </c>
      <c r="N354" s="609" t="str">
        <f t="shared" si="76"/>
        <v/>
      </c>
      <c r="O354" s="609" t="str">
        <f t="shared" si="76"/>
        <v/>
      </c>
      <c r="P354" s="609" t="str">
        <f t="shared" si="76"/>
        <v/>
      </c>
      <c r="Q354" s="609" t="str">
        <f t="shared" si="76"/>
        <v/>
      </c>
      <c r="R354" s="609" t="str">
        <f t="shared" si="76"/>
        <v/>
      </c>
      <c r="S354" s="609" t="str">
        <f t="shared" si="76"/>
        <v/>
      </c>
      <c r="T354" s="609" t="str">
        <f t="shared" si="76"/>
        <v/>
      </c>
      <c r="U354" s="609" t="str">
        <f t="shared" si="76"/>
        <v/>
      </c>
      <c r="V354" s="609" t="str">
        <f t="shared" si="76"/>
        <v/>
      </c>
      <c r="W354" s="609" t="str">
        <f t="shared" si="76"/>
        <v/>
      </c>
      <c r="X354" s="609" t="str">
        <f t="shared" si="75"/>
        <v/>
      </c>
      <c r="Y354" s="609" t="str">
        <f t="shared" si="75"/>
        <v/>
      </c>
      <c r="Z354" s="609" t="str">
        <f t="shared" si="75"/>
        <v/>
      </c>
      <c r="AA354" s="609" t="str">
        <f t="shared" si="75"/>
        <v/>
      </c>
      <c r="AB354" s="609" t="str">
        <f t="shared" si="75"/>
        <v/>
      </c>
      <c r="AC354" s="609" t="str">
        <f t="shared" si="75"/>
        <v/>
      </c>
      <c r="AD354" s="609" t="str">
        <f t="shared" si="75"/>
        <v/>
      </c>
      <c r="AE354" s="609" t="str">
        <f t="shared" si="75"/>
        <v/>
      </c>
      <c r="AF354" s="609" t="str">
        <f t="shared" si="75"/>
        <v/>
      </c>
      <c r="AG354" s="609" t="str">
        <f t="shared" si="75"/>
        <v/>
      </c>
      <c r="AH354" s="609" t="str">
        <f t="shared" si="75"/>
        <v/>
      </c>
      <c r="AI354" s="609" t="str">
        <f t="shared" si="75"/>
        <v/>
      </c>
      <c r="AJ354" s="609" t="str">
        <f t="shared" si="75"/>
        <v/>
      </c>
      <c r="AK354" s="609" t="str">
        <f t="shared" si="75"/>
        <v/>
      </c>
      <c r="AL354" s="609" t="str">
        <f t="shared" si="75"/>
        <v/>
      </c>
      <c r="AM354" s="609" t="str">
        <f t="shared" si="78"/>
        <v/>
      </c>
      <c r="AN354" s="609" t="str">
        <f t="shared" si="78"/>
        <v/>
      </c>
      <c r="AO354" s="609" t="str">
        <f t="shared" si="78"/>
        <v/>
      </c>
      <c r="AP354" s="609" t="str">
        <f t="shared" si="78"/>
        <v/>
      </c>
      <c r="AQ354" s="609" t="str">
        <f t="shared" si="78"/>
        <v/>
      </c>
      <c r="AR354" s="609" t="str">
        <f t="shared" si="78"/>
        <v/>
      </c>
      <c r="AS354" s="609" t="str">
        <f t="shared" si="78"/>
        <v/>
      </c>
      <c r="AT354" s="609" t="str">
        <f t="shared" si="78"/>
        <v/>
      </c>
      <c r="AU354" s="609" t="str">
        <f t="shared" si="78"/>
        <v/>
      </c>
      <c r="AV354" s="609" t="str">
        <f t="shared" si="78"/>
        <v/>
      </c>
      <c r="AW354" s="609" t="str">
        <f t="shared" si="78"/>
        <v/>
      </c>
      <c r="AX354" s="609" t="str">
        <f t="shared" si="78"/>
        <v/>
      </c>
      <c r="AY354" s="609" t="str">
        <f t="shared" si="78"/>
        <v/>
      </c>
      <c r="AZ354" s="609" t="str">
        <f t="shared" si="78"/>
        <v/>
      </c>
      <c r="BA354" s="609" t="str">
        <f t="shared" si="78"/>
        <v/>
      </c>
      <c r="BB354" s="609" t="str">
        <f t="shared" si="78"/>
        <v/>
      </c>
      <c r="BC354" s="609" t="str">
        <f t="shared" si="77"/>
        <v/>
      </c>
      <c r="BD354" s="609" t="str">
        <f t="shared" si="77"/>
        <v/>
      </c>
      <c r="BE354" s="609" t="str">
        <f t="shared" si="77"/>
        <v/>
      </c>
      <c r="BF354" s="609" t="str">
        <f t="shared" si="77"/>
        <v/>
      </c>
      <c r="BG354" s="609" t="str">
        <f t="shared" si="77"/>
        <v/>
      </c>
    </row>
    <row r="355" spans="2:59" x14ac:dyDescent="0.25">
      <c r="B355" s="654">
        <v>349</v>
      </c>
      <c r="C355" s="654"/>
      <c r="D355" s="654"/>
      <c r="E355" s="655"/>
      <c r="F355" s="654"/>
      <c r="H355" s="609" t="str">
        <f t="shared" si="76"/>
        <v/>
      </c>
      <c r="I355" s="609" t="str">
        <f t="shared" si="76"/>
        <v/>
      </c>
      <c r="J355" s="609" t="str">
        <f t="shared" si="76"/>
        <v/>
      </c>
      <c r="K355" s="609" t="str">
        <f t="shared" si="76"/>
        <v/>
      </c>
      <c r="L355" s="609" t="str">
        <f t="shared" si="76"/>
        <v/>
      </c>
      <c r="M355" s="609" t="str">
        <f t="shared" si="76"/>
        <v/>
      </c>
      <c r="N355" s="609" t="str">
        <f t="shared" si="76"/>
        <v/>
      </c>
      <c r="O355" s="609" t="str">
        <f t="shared" si="76"/>
        <v/>
      </c>
      <c r="P355" s="609" t="str">
        <f t="shared" si="76"/>
        <v/>
      </c>
      <c r="Q355" s="609" t="str">
        <f t="shared" si="76"/>
        <v/>
      </c>
      <c r="R355" s="609" t="str">
        <f t="shared" si="76"/>
        <v/>
      </c>
      <c r="S355" s="609" t="str">
        <f t="shared" si="76"/>
        <v/>
      </c>
      <c r="T355" s="609" t="str">
        <f t="shared" si="76"/>
        <v/>
      </c>
      <c r="U355" s="609" t="str">
        <f t="shared" si="76"/>
        <v/>
      </c>
      <c r="V355" s="609" t="str">
        <f t="shared" si="76"/>
        <v/>
      </c>
      <c r="W355" s="609" t="str">
        <f t="shared" si="76"/>
        <v/>
      </c>
      <c r="X355" s="609" t="str">
        <f t="shared" si="75"/>
        <v/>
      </c>
      <c r="Y355" s="609" t="str">
        <f t="shared" si="75"/>
        <v/>
      </c>
      <c r="Z355" s="609" t="str">
        <f t="shared" si="75"/>
        <v/>
      </c>
      <c r="AA355" s="609" t="str">
        <f t="shared" si="75"/>
        <v/>
      </c>
      <c r="AB355" s="609" t="str">
        <f t="shared" si="75"/>
        <v/>
      </c>
      <c r="AC355" s="609" t="str">
        <f t="shared" si="75"/>
        <v/>
      </c>
      <c r="AD355" s="609" t="str">
        <f t="shared" si="75"/>
        <v/>
      </c>
      <c r="AE355" s="609" t="str">
        <f t="shared" si="75"/>
        <v/>
      </c>
      <c r="AF355" s="609" t="str">
        <f t="shared" si="75"/>
        <v/>
      </c>
      <c r="AG355" s="609" t="str">
        <f t="shared" si="75"/>
        <v/>
      </c>
      <c r="AH355" s="609" t="str">
        <f t="shared" si="75"/>
        <v/>
      </c>
      <c r="AI355" s="609" t="str">
        <f t="shared" si="75"/>
        <v/>
      </c>
      <c r="AJ355" s="609" t="str">
        <f t="shared" si="75"/>
        <v/>
      </c>
      <c r="AK355" s="609" t="str">
        <f t="shared" si="75"/>
        <v/>
      </c>
      <c r="AL355" s="609" t="str">
        <f t="shared" si="75"/>
        <v/>
      </c>
      <c r="AM355" s="609" t="str">
        <f t="shared" si="78"/>
        <v/>
      </c>
      <c r="AN355" s="609" t="str">
        <f t="shared" si="78"/>
        <v/>
      </c>
      <c r="AO355" s="609" t="str">
        <f t="shared" si="78"/>
        <v/>
      </c>
      <c r="AP355" s="609" t="str">
        <f t="shared" si="78"/>
        <v/>
      </c>
      <c r="AQ355" s="609" t="str">
        <f t="shared" si="78"/>
        <v/>
      </c>
      <c r="AR355" s="609" t="str">
        <f t="shared" si="78"/>
        <v/>
      </c>
      <c r="AS355" s="609" t="str">
        <f t="shared" si="78"/>
        <v/>
      </c>
      <c r="AT355" s="609" t="str">
        <f t="shared" si="78"/>
        <v/>
      </c>
      <c r="AU355" s="609" t="str">
        <f t="shared" si="78"/>
        <v/>
      </c>
      <c r="AV355" s="609" t="str">
        <f t="shared" si="78"/>
        <v/>
      </c>
      <c r="AW355" s="609" t="str">
        <f t="shared" si="78"/>
        <v/>
      </c>
      <c r="AX355" s="609" t="str">
        <f t="shared" si="78"/>
        <v/>
      </c>
      <c r="AY355" s="609" t="str">
        <f t="shared" si="78"/>
        <v/>
      </c>
      <c r="AZ355" s="609" t="str">
        <f t="shared" si="78"/>
        <v/>
      </c>
      <c r="BA355" s="609" t="str">
        <f t="shared" si="78"/>
        <v/>
      </c>
      <c r="BB355" s="609" t="str">
        <f t="shared" si="78"/>
        <v/>
      </c>
      <c r="BC355" s="609" t="str">
        <f t="shared" si="77"/>
        <v/>
      </c>
      <c r="BD355" s="609" t="str">
        <f t="shared" si="77"/>
        <v/>
      </c>
      <c r="BE355" s="609" t="str">
        <f t="shared" si="77"/>
        <v/>
      </c>
      <c r="BF355" s="609" t="str">
        <f t="shared" si="77"/>
        <v/>
      </c>
      <c r="BG355" s="609" t="str">
        <f t="shared" si="77"/>
        <v/>
      </c>
    </row>
    <row r="356" spans="2:59" x14ac:dyDescent="0.25">
      <c r="B356" s="654">
        <v>350</v>
      </c>
      <c r="C356" s="654"/>
      <c r="D356" s="654"/>
      <c r="E356" s="655"/>
      <c r="F356" s="654"/>
      <c r="H356" s="609" t="str">
        <f t="shared" si="76"/>
        <v/>
      </c>
      <c r="I356" s="609" t="str">
        <f t="shared" si="76"/>
        <v/>
      </c>
      <c r="J356" s="609" t="str">
        <f t="shared" si="76"/>
        <v/>
      </c>
      <c r="K356" s="609" t="str">
        <f t="shared" si="76"/>
        <v/>
      </c>
      <c r="L356" s="609" t="str">
        <f t="shared" si="76"/>
        <v/>
      </c>
      <c r="M356" s="609" t="str">
        <f t="shared" si="76"/>
        <v/>
      </c>
      <c r="N356" s="609" t="str">
        <f t="shared" si="76"/>
        <v/>
      </c>
      <c r="O356" s="609" t="str">
        <f t="shared" si="76"/>
        <v/>
      </c>
      <c r="P356" s="609" t="str">
        <f t="shared" si="76"/>
        <v/>
      </c>
      <c r="Q356" s="609" t="str">
        <f t="shared" si="76"/>
        <v/>
      </c>
      <c r="R356" s="609" t="str">
        <f t="shared" si="76"/>
        <v/>
      </c>
      <c r="S356" s="609" t="str">
        <f t="shared" si="76"/>
        <v/>
      </c>
      <c r="T356" s="609" t="str">
        <f t="shared" si="76"/>
        <v/>
      </c>
      <c r="U356" s="609" t="str">
        <f t="shared" si="76"/>
        <v/>
      </c>
      <c r="V356" s="609" t="str">
        <f t="shared" si="76"/>
        <v/>
      </c>
      <c r="W356" s="609" t="str">
        <f t="shared" si="76"/>
        <v/>
      </c>
      <c r="X356" s="609" t="str">
        <f t="shared" si="75"/>
        <v/>
      </c>
      <c r="Y356" s="609" t="str">
        <f t="shared" si="75"/>
        <v/>
      </c>
      <c r="Z356" s="609" t="str">
        <f t="shared" si="75"/>
        <v/>
      </c>
      <c r="AA356" s="609" t="str">
        <f t="shared" si="75"/>
        <v/>
      </c>
      <c r="AB356" s="609" t="str">
        <f t="shared" si="75"/>
        <v/>
      </c>
      <c r="AC356" s="609" t="str">
        <f t="shared" si="75"/>
        <v/>
      </c>
      <c r="AD356" s="609" t="str">
        <f t="shared" si="75"/>
        <v/>
      </c>
      <c r="AE356" s="609" t="str">
        <f t="shared" si="75"/>
        <v/>
      </c>
      <c r="AF356" s="609" t="str">
        <f t="shared" si="75"/>
        <v/>
      </c>
      <c r="AG356" s="609" t="str">
        <f t="shared" si="75"/>
        <v/>
      </c>
      <c r="AH356" s="609" t="str">
        <f t="shared" si="75"/>
        <v/>
      </c>
      <c r="AI356" s="609" t="str">
        <f t="shared" si="75"/>
        <v/>
      </c>
      <c r="AJ356" s="609" t="str">
        <f t="shared" si="75"/>
        <v/>
      </c>
      <c r="AK356" s="609" t="str">
        <f t="shared" si="75"/>
        <v/>
      </c>
      <c r="AL356" s="609" t="str">
        <f t="shared" si="75"/>
        <v/>
      </c>
      <c r="AM356" s="609" t="str">
        <f t="shared" si="78"/>
        <v/>
      </c>
      <c r="AN356" s="609" t="str">
        <f t="shared" si="78"/>
        <v/>
      </c>
      <c r="AO356" s="609" t="str">
        <f t="shared" si="78"/>
        <v/>
      </c>
      <c r="AP356" s="609" t="str">
        <f t="shared" si="78"/>
        <v/>
      </c>
      <c r="AQ356" s="609" t="str">
        <f t="shared" si="78"/>
        <v/>
      </c>
      <c r="AR356" s="609" t="str">
        <f t="shared" si="78"/>
        <v/>
      </c>
      <c r="AS356" s="609" t="str">
        <f t="shared" si="78"/>
        <v/>
      </c>
      <c r="AT356" s="609" t="str">
        <f t="shared" si="78"/>
        <v/>
      </c>
      <c r="AU356" s="609" t="str">
        <f t="shared" si="78"/>
        <v/>
      </c>
      <c r="AV356" s="609" t="str">
        <f t="shared" si="78"/>
        <v/>
      </c>
      <c r="AW356" s="609" t="str">
        <f t="shared" si="78"/>
        <v/>
      </c>
      <c r="AX356" s="609" t="str">
        <f t="shared" si="78"/>
        <v/>
      </c>
      <c r="AY356" s="609" t="str">
        <f t="shared" si="78"/>
        <v/>
      </c>
      <c r="AZ356" s="609" t="str">
        <f t="shared" si="78"/>
        <v/>
      </c>
      <c r="BA356" s="609" t="str">
        <f t="shared" si="78"/>
        <v/>
      </c>
      <c r="BB356" s="609" t="str">
        <f t="shared" si="78"/>
        <v/>
      </c>
      <c r="BC356" s="609" t="str">
        <f t="shared" si="77"/>
        <v/>
      </c>
      <c r="BD356" s="609" t="str">
        <f t="shared" si="77"/>
        <v/>
      </c>
      <c r="BE356" s="609" t="str">
        <f t="shared" si="77"/>
        <v/>
      </c>
      <c r="BF356" s="609" t="str">
        <f t="shared" si="77"/>
        <v/>
      </c>
      <c r="BG356" s="609" t="str">
        <f t="shared" si="77"/>
        <v/>
      </c>
    </row>
    <row r="357" spans="2:59" x14ac:dyDescent="0.25">
      <c r="B357" s="654">
        <v>351</v>
      </c>
      <c r="C357" s="654"/>
      <c r="D357" s="654"/>
      <c r="E357" s="655"/>
      <c r="F357" s="654"/>
      <c r="H357" s="609" t="str">
        <f t="shared" si="76"/>
        <v/>
      </c>
      <c r="I357" s="609" t="str">
        <f t="shared" si="76"/>
        <v/>
      </c>
      <c r="J357" s="609" t="str">
        <f t="shared" si="76"/>
        <v/>
      </c>
      <c r="K357" s="609" t="str">
        <f t="shared" si="76"/>
        <v/>
      </c>
      <c r="L357" s="609" t="str">
        <f t="shared" si="76"/>
        <v/>
      </c>
      <c r="M357" s="609" t="str">
        <f t="shared" si="76"/>
        <v/>
      </c>
      <c r="N357" s="609" t="str">
        <f t="shared" si="76"/>
        <v/>
      </c>
      <c r="O357" s="609" t="str">
        <f t="shared" si="76"/>
        <v/>
      </c>
      <c r="P357" s="609" t="str">
        <f t="shared" si="76"/>
        <v/>
      </c>
      <c r="Q357" s="609" t="str">
        <f t="shared" si="76"/>
        <v/>
      </c>
      <c r="R357" s="609" t="str">
        <f t="shared" si="76"/>
        <v/>
      </c>
      <c r="S357" s="609" t="str">
        <f t="shared" si="76"/>
        <v/>
      </c>
      <c r="T357" s="609" t="str">
        <f t="shared" si="76"/>
        <v/>
      </c>
      <c r="U357" s="609" t="str">
        <f t="shared" si="76"/>
        <v/>
      </c>
      <c r="V357" s="609" t="str">
        <f t="shared" si="76"/>
        <v/>
      </c>
      <c r="W357" s="609" t="str">
        <f t="shared" ref="W357:AL372" si="79">IF($D357=W$6,$B357&amp;", ","")</f>
        <v/>
      </c>
      <c r="X357" s="609" t="str">
        <f t="shared" si="79"/>
        <v/>
      </c>
      <c r="Y357" s="609" t="str">
        <f t="shared" si="79"/>
        <v/>
      </c>
      <c r="Z357" s="609" t="str">
        <f t="shared" si="79"/>
        <v/>
      </c>
      <c r="AA357" s="609" t="str">
        <f t="shared" si="79"/>
        <v/>
      </c>
      <c r="AB357" s="609" t="str">
        <f t="shared" si="79"/>
        <v/>
      </c>
      <c r="AC357" s="609" t="str">
        <f t="shared" si="79"/>
        <v/>
      </c>
      <c r="AD357" s="609" t="str">
        <f t="shared" si="79"/>
        <v/>
      </c>
      <c r="AE357" s="609" t="str">
        <f t="shared" si="79"/>
        <v/>
      </c>
      <c r="AF357" s="609" t="str">
        <f t="shared" si="79"/>
        <v/>
      </c>
      <c r="AG357" s="609" t="str">
        <f t="shared" si="79"/>
        <v/>
      </c>
      <c r="AH357" s="609" t="str">
        <f t="shared" si="79"/>
        <v/>
      </c>
      <c r="AI357" s="609" t="str">
        <f t="shared" si="79"/>
        <v/>
      </c>
      <c r="AJ357" s="609" t="str">
        <f t="shared" si="79"/>
        <v/>
      </c>
      <c r="AK357" s="609" t="str">
        <f t="shared" si="79"/>
        <v/>
      </c>
      <c r="AL357" s="609" t="str">
        <f t="shared" si="79"/>
        <v/>
      </c>
      <c r="AM357" s="609" t="str">
        <f t="shared" si="78"/>
        <v/>
      </c>
      <c r="AN357" s="609" t="str">
        <f t="shared" si="78"/>
        <v/>
      </c>
      <c r="AO357" s="609" t="str">
        <f t="shared" si="78"/>
        <v/>
      </c>
      <c r="AP357" s="609" t="str">
        <f t="shared" si="78"/>
        <v/>
      </c>
      <c r="AQ357" s="609" t="str">
        <f t="shared" si="78"/>
        <v/>
      </c>
      <c r="AR357" s="609" t="str">
        <f t="shared" si="78"/>
        <v/>
      </c>
      <c r="AS357" s="609" t="str">
        <f t="shared" si="78"/>
        <v/>
      </c>
      <c r="AT357" s="609" t="str">
        <f t="shared" si="78"/>
        <v/>
      </c>
      <c r="AU357" s="609" t="str">
        <f t="shared" si="78"/>
        <v/>
      </c>
      <c r="AV357" s="609" t="str">
        <f t="shared" si="78"/>
        <v/>
      </c>
      <c r="AW357" s="609" t="str">
        <f t="shared" si="78"/>
        <v/>
      </c>
      <c r="AX357" s="609" t="str">
        <f t="shared" si="78"/>
        <v/>
      </c>
      <c r="AY357" s="609" t="str">
        <f t="shared" si="78"/>
        <v/>
      </c>
      <c r="AZ357" s="609" t="str">
        <f t="shared" si="78"/>
        <v/>
      </c>
      <c r="BA357" s="609" t="str">
        <f t="shared" si="78"/>
        <v/>
      </c>
      <c r="BB357" s="609" t="str">
        <f t="shared" si="78"/>
        <v/>
      </c>
      <c r="BC357" s="609" t="str">
        <f t="shared" si="77"/>
        <v/>
      </c>
      <c r="BD357" s="609" t="str">
        <f t="shared" si="77"/>
        <v/>
      </c>
      <c r="BE357" s="609" t="str">
        <f t="shared" si="77"/>
        <v/>
      </c>
      <c r="BF357" s="609" t="str">
        <f t="shared" si="77"/>
        <v/>
      </c>
      <c r="BG357" s="609" t="str">
        <f t="shared" si="77"/>
        <v/>
      </c>
    </row>
    <row r="358" spans="2:59" x14ac:dyDescent="0.25">
      <c r="B358" s="654">
        <v>352</v>
      </c>
      <c r="C358" s="654"/>
      <c r="D358" s="654"/>
      <c r="E358" s="655"/>
      <c r="F358" s="654"/>
      <c r="H358" s="609" t="str">
        <f t="shared" ref="H358:W373" si="80">IF($D358=H$6,$B358&amp;", ","")</f>
        <v/>
      </c>
      <c r="I358" s="609" t="str">
        <f t="shared" si="80"/>
        <v/>
      </c>
      <c r="J358" s="609" t="str">
        <f t="shared" si="80"/>
        <v/>
      </c>
      <c r="K358" s="609" t="str">
        <f t="shared" si="80"/>
        <v/>
      </c>
      <c r="L358" s="609" t="str">
        <f t="shared" si="80"/>
        <v/>
      </c>
      <c r="M358" s="609" t="str">
        <f t="shared" si="80"/>
        <v/>
      </c>
      <c r="N358" s="609" t="str">
        <f t="shared" si="80"/>
        <v/>
      </c>
      <c r="O358" s="609" t="str">
        <f t="shared" si="80"/>
        <v/>
      </c>
      <c r="P358" s="609" t="str">
        <f t="shared" si="80"/>
        <v/>
      </c>
      <c r="Q358" s="609" t="str">
        <f t="shared" si="80"/>
        <v/>
      </c>
      <c r="R358" s="609" t="str">
        <f t="shared" si="80"/>
        <v/>
      </c>
      <c r="S358" s="609" t="str">
        <f t="shared" si="80"/>
        <v/>
      </c>
      <c r="T358" s="609" t="str">
        <f t="shared" si="80"/>
        <v/>
      </c>
      <c r="U358" s="609" t="str">
        <f t="shared" si="80"/>
        <v/>
      </c>
      <c r="V358" s="609" t="str">
        <f t="shared" si="80"/>
        <v/>
      </c>
      <c r="W358" s="609" t="str">
        <f t="shared" si="80"/>
        <v/>
      </c>
      <c r="X358" s="609" t="str">
        <f t="shared" si="79"/>
        <v/>
      </c>
      <c r="Y358" s="609" t="str">
        <f t="shared" si="79"/>
        <v/>
      </c>
      <c r="Z358" s="609" t="str">
        <f t="shared" si="79"/>
        <v/>
      </c>
      <c r="AA358" s="609" t="str">
        <f t="shared" si="79"/>
        <v/>
      </c>
      <c r="AB358" s="609" t="str">
        <f t="shared" si="79"/>
        <v/>
      </c>
      <c r="AC358" s="609" t="str">
        <f t="shared" si="79"/>
        <v/>
      </c>
      <c r="AD358" s="609" t="str">
        <f t="shared" si="79"/>
        <v/>
      </c>
      <c r="AE358" s="609" t="str">
        <f t="shared" si="79"/>
        <v/>
      </c>
      <c r="AF358" s="609" t="str">
        <f t="shared" si="79"/>
        <v/>
      </c>
      <c r="AG358" s="609" t="str">
        <f t="shared" si="79"/>
        <v/>
      </c>
      <c r="AH358" s="609" t="str">
        <f t="shared" si="79"/>
        <v/>
      </c>
      <c r="AI358" s="609" t="str">
        <f t="shared" si="79"/>
        <v/>
      </c>
      <c r="AJ358" s="609" t="str">
        <f t="shared" si="79"/>
        <v/>
      </c>
      <c r="AK358" s="609" t="str">
        <f t="shared" si="79"/>
        <v/>
      </c>
      <c r="AL358" s="609" t="str">
        <f t="shared" si="79"/>
        <v/>
      </c>
      <c r="AM358" s="609" t="str">
        <f t="shared" si="78"/>
        <v/>
      </c>
      <c r="AN358" s="609" t="str">
        <f t="shared" si="78"/>
        <v/>
      </c>
      <c r="AO358" s="609" t="str">
        <f t="shared" si="78"/>
        <v/>
      </c>
      <c r="AP358" s="609" t="str">
        <f t="shared" si="78"/>
        <v/>
      </c>
      <c r="AQ358" s="609" t="str">
        <f t="shared" si="78"/>
        <v/>
      </c>
      <c r="AR358" s="609" t="str">
        <f t="shared" si="78"/>
        <v/>
      </c>
      <c r="AS358" s="609" t="str">
        <f t="shared" si="78"/>
        <v/>
      </c>
      <c r="AT358" s="609" t="str">
        <f t="shared" si="78"/>
        <v/>
      </c>
      <c r="AU358" s="609" t="str">
        <f t="shared" si="78"/>
        <v/>
      </c>
      <c r="AV358" s="609" t="str">
        <f t="shared" si="78"/>
        <v/>
      </c>
      <c r="AW358" s="609" t="str">
        <f t="shared" si="78"/>
        <v/>
      </c>
      <c r="AX358" s="609" t="str">
        <f t="shared" si="78"/>
        <v/>
      </c>
      <c r="AY358" s="609" t="str">
        <f t="shared" si="78"/>
        <v/>
      </c>
      <c r="AZ358" s="609" t="str">
        <f t="shared" si="78"/>
        <v/>
      </c>
      <c r="BA358" s="609" t="str">
        <f t="shared" si="78"/>
        <v/>
      </c>
      <c r="BB358" s="609" t="str">
        <f t="shared" si="78"/>
        <v/>
      </c>
      <c r="BC358" s="609" t="str">
        <f t="shared" si="77"/>
        <v/>
      </c>
      <c r="BD358" s="609" t="str">
        <f t="shared" si="77"/>
        <v/>
      </c>
      <c r="BE358" s="609" t="str">
        <f t="shared" si="77"/>
        <v/>
      </c>
      <c r="BF358" s="609" t="str">
        <f t="shared" si="77"/>
        <v/>
      </c>
      <c r="BG358" s="609" t="str">
        <f t="shared" si="77"/>
        <v/>
      </c>
    </row>
    <row r="359" spans="2:59" x14ac:dyDescent="0.25">
      <c r="B359" s="654">
        <v>353</v>
      </c>
      <c r="C359" s="654"/>
      <c r="D359" s="654"/>
      <c r="E359" s="655"/>
      <c r="F359" s="654"/>
      <c r="H359" s="609" t="str">
        <f t="shared" si="80"/>
        <v/>
      </c>
      <c r="I359" s="609" t="str">
        <f t="shared" si="80"/>
        <v/>
      </c>
      <c r="J359" s="609" t="str">
        <f t="shared" si="80"/>
        <v/>
      </c>
      <c r="K359" s="609" t="str">
        <f t="shared" si="80"/>
        <v/>
      </c>
      <c r="L359" s="609" t="str">
        <f t="shared" si="80"/>
        <v/>
      </c>
      <c r="M359" s="609" t="str">
        <f t="shared" si="80"/>
        <v/>
      </c>
      <c r="N359" s="609" t="str">
        <f t="shared" si="80"/>
        <v/>
      </c>
      <c r="O359" s="609" t="str">
        <f t="shared" si="80"/>
        <v/>
      </c>
      <c r="P359" s="609" t="str">
        <f t="shared" si="80"/>
        <v/>
      </c>
      <c r="Q359" s="609" t="str">
        <f t="shared" si="80"/>
        <v/>
      </c>
      <c r="R359" s="609" t="str">
        <f t="shared" si="80"/>
        <v/>
      </c>
      <c r="S359" s="609" t="str">
        <f t="shared" si="80"/>
        <v/>
      </c>
      <c r="T359" s="609" t="str">
        <f t="shared" si="80"/>
        <v/>
      </c>
      <c r="U359" s="609" t="str">
        <f t="shared" si="80"/>
        <v/>
      </c>
      <c r="V359" s="609" t="str">
        <f t="shared" si="80"/>
        <v/>
      </c>
      <c r="W359" s="609" t="str">
        <f t="shared" si="80"/>
        <v/>
      </c>
      <c r="X359" s="609" t="str">
        <f t="shared" si="79"/>
        <v/>
      </c>
      <c r="Y359" s="609" t="str">
        <f t="shared" si="79"/>
        <v/>
      </c>
      <c r="Z359" s="609" t="str">
        <f t="shared" si="79"/>
        <v/>
      </c>
      <c r="AA359" s="609" t="str">
        <f t="shared" si="79"/>
        <v/>
      </c>
      <c r="AB359" s="609" t="str">
        <f t="shared" si="79"/>
        <v/>
      </c>
      <c r="AC359" s="609" t="str">
        <f t="shared" si="79"/>
        <v/>
      </c>
      <c r="AD359" s="609" t="str">
        <f t="shared" si="79"/>
        <v/>
      </c>
      <c r="AE359" s="609" t="str">
        <f t="shared" si="79"/>
        <v/>
      </c>
      <c r="AF359" s="609" t="str">
        <f t="shared" si="79"/>
        <v/>
      </c>
      <c r="AG359" s="609" t="str">
        <f t="shared" si="79"/>
        <v/>
      </c>
      <c r="AH359" s="609" t="str">
        <f t="shared" si="79"/>
        <v/>
      </c>
      <c r="AI359" s="609" t="str">
        <f t="shared" si="79"/>
        <v/>
      </c>
      <c r="AJ359" s="609" t="str">
        <f t="shared" si="79"/>
        <v/>
      </c>
      <c r="AK359" s="609" t="str">
        <f t="shared" si="79"/>
        <v/>
      </c>
      <c r="AL359" s="609" t="str">
        <f t="shared" si="79"/>
        <v/>
      </c>
      <c r="AM359" s="609" t="str">
        <f t="shared" si="78"/>
        <v/>
      </c>
      <c r="AN359" s="609" t="str">
        <f t="shared" si="78"/>
        <v/>
      </c>
      <c r="AO359" s="609" t="str">
        <f t="shared" si="78"/>
        <v/>
      </c>
      <c r="AP359" s="609" t="str">
        <f t="shared" si="78"/>
        <v/>
      </c>
      <c r="AQ359" s="609" t="str">
        <f t="shared" si="78"/>
        <v/>
      </c>
      <c r="AR359" s="609" t="str">
        <f t="shared" si="78"/>
        <v/>
      </c>
      <c r="AS359" s="609" t="str">
        <f t="shared" si="78"/>
        <v/>
      </c>
      <c r="AT359" s="609" t="str">
        <f t="shared" si="78"/>
        <v/>
      </c>
      <c r="AU359" s="609" t="str">
        <f t="shared" si="78"/>
        <v/>
      </c>
      <c r="AV359" s="609" t="str">
        <f t="shared" si="78"/>
        <v/>
      </c>
      <c r="AW359" s="609" t="str">
        <f t="shared" si="78"/>
        <v/>
      </c>
      <c r="AX359" s="609" t="str">
        <f t="shared" si="78"/>
        <v/>
      </c>
      <c r="AY359" s="609" t="str">
        <f t="shared" si="78"/>
        <v/>
      </c>
      <c r="AZ359" s="609" t="str">
        <f t="shared" si="78"/>
        <v/>
      </c>
      <c r="BA359" s="609" t="str">
        <f t="shared" si="78"/>
        <v/>
      </c>
      <c r="BB359" s="609" t="str">
        <f t="shared" si="78"/>
        <v/>
      </c>
      <c r="BC359" s="609" t="str">
        <f t="shared" si="77"/>
        <v/>
      </c>
      <c r="BD359" s="609" t="str">
        <f t="shared" si="77"/>
        <v/>
      </c>
      <c r="BE359" s="609" t="str">
        <f t="shared" si="77"/>
        <v/>
      </c>
      <c r="BF359" s="609" t="str">
        <f t="shared" si="77"/>
        <v/>
      </c>
      <c r="BG359" s="609" t="str">
        <f t="shared" si="77"/>
        <v/>
      </c>
    </row>
    <row r="360" spans="2:59" x14ac:dyDescent="0.25">
      <c r="B360" s="654">
        <v>354</v>
      </c>
      <c r="C360" s="654"/>
      <c r="D360" s="654"/>
      <c r="E360" s="655"/>
      <c r="F360" s="654"/>
      <c r="H360" s="609" t="str">
        <f t="shared" si="80"/>
        <v/>
      </c>
      <c r="I360" s="609" t="str">
        <f t="shared" si="80"/>
        <v/>
      </c>
      <c r="J360" s="609" t="str">
        <f t="shared" si="80"/>
        <v/>
      </c>
      <c r="K360" s="609" t="str">
        <f t="shared" si="80"/>
        <v/>
      </c>
      <c r="L360" s="609" t="str">
        <f t="shared" si="80"/>
        <v/>
      </c>
      <c r="M360" s="609" t="str">
        <f t="shared" si="80"/>
        <v/>
      </c>
      <c r="N360" s="609" t="str">
        <f t="shared" si="80"/>
        <v/>
      </c>
      <c r="O360" s="609" t="str">
        <f t="shared" si="80"/>
        <v/>
      </c>
      <c r="P360" s="609" t="str">
        <f t="shared" si="80"/>
        <v/>
      </c>
      <c r="Q360" s="609" t="str">
        <f t="shared" si="80"/>
        <v/>
      </c>
      <c r="R360" s="609" t="str">
        <f t="shared" si="80"/>
        <v/>
      </c>
      <c r="S360" s="609" t="str">
        <f t="shared" si="80"/>
        <v/>
      </c>
      <c r="T360" s="609" t="str">
        <f t="shared" si="80"/>
        <v/>
      </c>
      <c r="U360" s="609" t="str">
        <f t="shared" si="80"/>
        <v/>
      </c>
      <c r="V360" s="609" t="str">
        <f t="shared" si="80"/>
        <v/>
      </c>
      <c r="W360" s="609" t="str">
        <f t="shared" si="80"/>
        <v/>
      </c>
      <c r="X360" s="609" t="str">
        <f t="shared" si="79"/>
        <v/>
      </c>
      <c r="Y360" s="609" t="str">
        <f t="shared" si="79"/>
        <v/>
      </c>
      <c r="Z360" s="609" t="str">
        <f t="shared" si="79"/>
        <v/>
      </c>
      <c r="AA360" s="609" t="str">
        <f t="shared" si="79"/>
        <v/>
      </c>
      <c r="AB360" s="609" t="str">
        <f t="shared" si="79"/>
        <v/>
      </c>
      <c r="AC360" s="609" t="str">
        <f t="shared" si="79"/>
        <v/>
      </c>
      <c r="AD360" s="609" t="str">
        <f t="shared" si="79"/>
        <v/>
      </c>
      <c r="AE360" s="609" t="str">
        <f t="shared" si="79"/>
        <v/>
      </c>
      <c r="AF360" s="609" t="str">
        <f t="shared" si="79"/>
        <v/>
      </c>
      <c r="AG360" s="609" t="str">
        <f t="shared" si="79"/>
        <v/>
      </c>
      <c r="AH360" s="609" t="str">
        <f t="shared" si="79"/>
        <v/>
      </c>
      <c r="AI360" s="609" t="str">
        <f t="shared" si="79"/>
        <v/>
      </c>
      <c r="AJ360" s="609" t="str">
        <f t="shared" si="79"/>
        <v/>
      </c>
      <c r="AK360" s="609" t="str">
        <f t="shared" si="79"/>
        <v/>
      </c>
      <c r="AL360" s="609" t="str">
        <f t="shared" si="79"/>
        <v/>
      </c>
      <c r="AM360" s="609" t="str">
        <f t="shared" si="78"/>
        <v/>
      </c>
      <c r="AN360" s="609" t="str">
        <f t="shared" si="78"/>
        <v/>
      </c>
      <c r="AO360" s="609" t="str">
        <f t="shared" si="78"/>
        <v/>
      </c>
      <c r="AP360" s="609" t="str">
        <f t="shared" si="78"/>
        <v/>
      </c>
      <c r="AQ360" s="609" t="str">
        <f t="shared" si="78"/>
        <v/>
      </c>
      <c r="AR360" s="609" t="str">
        <f t="shared" si="78"/>
        <v/>
      </c>
      <c r="AS360" s="609" t="str">
        <f t="shared" si="78"/>
        <v/>
      </c>
      <c r="AT360" s="609" t="str">
        <f t="shared" si="78"/>
        <v/>
      </c>
      <c r="AU360" s="609" t="str">
        <f t="shared" si="78"/>
        <v/>
      </c>
      <c r="AV360" s="609" t="str">
        <f t="shared" si="78"/>
        <v/>
      </c>
      <c r="AW360" s="609" t="str">
        <f t="shared" si="78"/>
        <v/>
      </c>
      <c r="AX360" s="609" t="str">
        <f t="shared" si="78"/>
        <v/>
      </c>
      <c r="AY360" s="609" t="str">
        <f t="shared" si="78"/>
        <v/>
      </c>
      <c r="AZ360" s="609" t="str">
        <f t="shared" si="78"/>
        <v/>
      </c>
      <c r="BA360" s="609" t="str">
        <f t="shared" si="78"/>
        <v/>
      </c>
      <c r="BB360" s="609" t="str">
        <f t="shared" si="78"/>
        <v/>
      </c>
      <c r="BC360" s="609" t="str">
        <f t="shared" si="77"/>
        <v/>
      </c>
      <c r="BD360" s="609" t="str">
        <f t="shared" si="77"/>
        <v/>
      </c>
      <c r="BE360" s="609" t="str">
        <f t="shared" si="77"/>
        <v/>
      </c>
      <c r="BF360" s="609" t="str">
        <f t="shared" si="77"/>
        <v/>
      </c>
      <c r="BG360" s="609" t="str">
        <f t="shared" si="77"/>
        <v/>
      </c>
    </row>
    <row r="361" spans="2:59" x14ac:dyDescent="0.25">
      <c r="B361" s="654">
        <v>355</v>
      </c>
      <c r="C361" s="654"/>
      <c r="D361" s="654"/>
      <c r="E361" s="655"/>
      <c r="F361" s="654"/>
      <c r="H361" s="609" t="str">
        <f t="shared" si="80"/>
        <v/>
      </c>
      <c r="I361" s="609" t="str">
        <f t="shared" si="80"/>
        <v/>
      </c>
      <c r="J361" s="609" t="str">
        <f t="shared" si="80"/>
        <v/>
      </c>
      <c r="K361" s="609" t="str">
        <f t="shared" si="80"/>
        <v/>
      </c>
      <c r="L361" s="609" t="str">
        <f t="shared" si="80"/>
        <v/>
      </c>
      <c r="M361" s="609" t="str">
        <f t="shared" si="80"/>
        <v/>
      </c>
      <c r="N361" s="609" t="str">
        <f t="shared" si="80"/>
        <v/>
      </c>
      <c r="O361" s="609" t="str">
        <f t="shared" si="80"/>
        <v/>
      </c>
      <c r="P361" s="609" t="str">
        <f t="shared" si="80"/>
        <v/>
      </c>
      <c r="Q361" s="609" t="str">
        <f t="shared" si="80"/>
        <v/>
      </c>
      <c r="R361" s="609" t="str">
        <f t="shared" si="80"/>
        <v/>
      </c>
      <c r="S361" s="609" t="str">
        <f t="shared" si="80"/>
        <v/>
      </c>
      <c r="T361" s="609" t="str">
        <f t="shared" si="80"/>
        <v/>
      </c>
      <c r="U361" s="609" t="str">
        <f t="shared" si="80"/>
        <v/>
      </c>
      <c r="V361" s="609" t="str">
        <f t="shared" si="80"/>
        <v/>
      </c>
      <c r="W361" s="609" t="str">
        <f t="shared" si="80"/>
        <v/>
      </c>
      <c r="X361" s="609" t="str">
        <f t="shared" si="79"/>
        <v/>
      </c>
      <c r="Y361" s="609" t="str">
        <f t="shared" si="79"/>
        <v/>
      </c>
      <c r="Z361" s="609" t="str">
        <f t="shared" si="79"/>
        <v/>
      </c>
      <c r="AA361" s="609" t="str">
        <f t="shared" si="79"/>
        <v/>
      </c>
      <c r="AB361" s="609" t="str">
        <f t="shared" si="79"/>
        <v/>
      </c>
      <c r="AC361" s="609" t="str">
        <f t="shared" si="79"/>
        <v/>
      </c>
      <c r="AD361" s="609" t="str">
        <f t="shared" si="79"/>
        <v/>
      </c>
      <c r="AE361" s="609" t="str">
        <f t="shared" si="79"/>
        <v/>
      </c>
      <c r="AF361" s="609" t="str">
        <f t="shared" si="79"/>
        <v/>
      </c>
      <c r="AG361" s="609" t="str">
        <f t="shared" si="79"/>
        <v/>
      </c>
      <c r="AH361" s="609" t="str">
        <f t="shared" si="79"/>
        <v/>
      </c>
      <c r="AI361" s="609" t="str">
        <f t="shared" si="79"/>
        <v/>
      </c>
      <c r="AJ361" s="609" t="str">
        <f t="shared" si="79"/>
        <v/>
      </c>
      <c r="AK361" s="609" t="str">
        <f t="shared" si="79"/>
        <v/>
      </c>
      <c r="AL361" s="609" t="str">
        <f t="shared" si="79"/>
        <v/>
      </c>
      <c r="AM361" s="609" t="str">
        <f t="shared" si="78"/>
        <v/>
      </c>
      <c r="AN361" s="609" t="str">
        <f t="shared" si="78"/>
        <v/>
      </c>
      <c r="AO361" s="609" t="str">
        <f t="shared" si="78"/>
        <v/>
      </c>
      <c r="AP361" s="609" t="str">
        <f t="shared" si="78"/>
        <v/>
      </c>
      <c r="AQ361" s="609" t="str">
        <f t="shared" si="78"/>
        <v/>
      </c>
      <c r="AR361" s="609" t="str">
        <f t="shared" si="78"/>
        <v/>
      </c>
      <c r="AS361" s="609" t="str">
        <f t="shared" si="78"/>
        <v/>
      </c>
      <c r="AT361" s="609" t="str">
        <f t="shared" si="78"/>
        <v/>
      </c>
      <c r="AU361" s="609" t="str">
        <f t="shared" si="78"/>
        <v/>
      </c>
      <c r="AV361" s="609" t="str">
        <f t="shared" si="78"/>
        <v/>
      </c>
      <c r="AW361" s="609" t="str">
        <f t="shared" si="78"/>
        <v/>
      </c>
      <c r="AX361" s="609" t="str">
        <f t="shared" si="78"/>
        <v/>
      </c>
      <c r="AY361" s="609" t="str">
        <f t="shared" si="78"/>
        <v/>
      </c>
      <c r="AZ361" s="609" t="str">
        <f t="shared" si="78"/>
        <v/>
      </c>
      <c r="BA361" s="609" t="str">
        <f t="shared" si="78"/>
        <v/>
      </c>
      <c r="BB361" s="609" t="str">
        <f t="shared" si="78"/>
        <v/>
      </c>
      <c r="BC361" s="609" t="str">
        <f t="shared" si="77"/>
        <v/>
      </c>
      <c r="BD361" s="609" t="str">
        <f t="shared" si="77"/>
        <v/>
      </c>
      <c r="BE361" s="609" t="str">
        <f t="shared" si="77"/>
        <v/>
      </c>
      <c r="BF361" s="609" t="str">
        <f t="shared" si="77"/>
        <v/>
      </c>
      <c r="BG361" s="609" t="str">
        <f t="shared" si="77"/>
        <v/>
      </c>
    </row>
    <row r="362" spans="2:59" x14ac:dyDescent="0.25">
      <c r="B362" s="654">
        <v>356</v>
      </c>
      <c r="C362" s="654"/>
      <c r="D362" s="654"/>
      <c r="E362" s="655"/>
      <c r="F362" s="654"/>
      <c r="H362" s="609" t="str">
        <f t="shared" si="80"/>
        <v/>
      </c>
      <c r="I362" s="609" t="str">
        <f t="shared" si="80"/>
        <v/>
      </c>
      <c r="J362" s="609" t="str">
        <f t="shared" si="80"/>
        <v/>
      </c>
      <c r="K362" s="609" t="str">
        <f t="shared" si="80"/>
        <v/>
      </c>
      <c r="L362" s="609" t="str">
        <f t="shared" si="80"/>
        <v/>
      </c>
      <c r="M362" s="609" t="str">
        <f t="shared" si="80"/>
        <v/>
      </c>
      <c r="N362" s="609" t="str">
        <f t="shared" si="80"/>
        <v/>
      </c>
      <c r="O362" s="609" t="str">
        <f t="shared" si="80"/>
        <v/>
      </c>
      <c r="P362" s="609" t="str">
        <f t="shared" si="80"/>
        <v/>
      </c>
      <c r="Q362" s="609" t="str">
        <f t="shared" si="80"/>
        <v/>
      </c>
      <c r="R362" s="609" t="str">
        <f t="shared" si="80"/>
        <v/>
      </c>
      <c r="S362" s="609" t="str">
        <f t="shared" si="80"/>
        <v/>
      </c>
      <c r="T362" s="609" t="str">
        <f t="shared" si="80"/>
        <v/>
      </c>
      <c r="U362" s="609" t="str">
        <f t="shared" si="80"/>
        <v/>
      </c>
      <c r="V362" s="609" t="str">
        <f t="shared" si="80"/>
        <v/>
      </c>
      <c r="W362" s="609" t="str">
        <f t="shared" si="80"/>
        <v/>
      </c>
      <c r="X362" s="609" t="str">
        <f t="shared" si="79"/>
        <v/>
      </c>
      <c r="Y362" s="609" t="str">
        <f t="shared" si="79"/>
        <v/>
      </c>
      <c r="Z362" s="609" t="str">
        <f t="shared" si="79"/>
        <v/>
      </c>
      <c r="AA362" s="609" t="str">
        <f t="shared" si="79"/>
        <v/>
      </c>
      <c r="AB362" s="609" t="str">
        <f t="shared" si="79"/>
        <v/>
      </c>
      <c r="AC362" s="609" t="str">
        <f t="shared" si="79"/>
        <v/>
      </c>
      <c r="AD362" s="609" t="str">
        <f t="shared" si="79"/>
        <v/>
      </c>
      <c r="AE362" s="609" t="str">
        <f t="shared" si="79"/>
        <v/>
      </c>
      <c r="AF362" s="609" t="str">
        <f t="shared" si="79"/>
        <v/>
      </c>
      <c r="AG362" s="609" t="str">
        <f t="shared" si="79"/>
        <v/>
      </c>
      <c r="AH362" s="609" t="str">
        <f t="shared" si="79"/>
        <v/>
      </c>
      <c r="AI362" s="609" t="str">
        <f t="shared" si="79"/>
        <v/>
      </c>
      <c r="AJ362" s="609" t="str">
        <f t="shared" si="79"/>
        <v/>
      </c>
      <c r="AK362" s="609" t="str">
        <f t="shared" si="79"/>
        <v/>
      </c>
      <c r="AL362" s="609" t="str">
        <f t="shared" si="79"/>
        <v/>
      </c>
      <c r="AM362" s="609" t="str">
        <f t="shared" si="78"/>
        <v/>
      </c>
      <c r="AN362" s="609" t="str">
        <f t="shared" si="78"/>
        <v/>
      </c>
      <c r="AO362" s="609" t="str">
        <f t="shared" si="78"/>
        <v/>
      </c>
      <c r="AP362" s="609" t="str">
        <f t="shared" si="78"/>
        <v/>
      </c>
      <c r="AQ362" s="609" t="str">
        <f t="shared" si="78"/>
        <v/>
      </c>
      <c r="AR362" s="609" t="str">
        <f t="shared" si="78"/>
        <v/>
      </c>
      <c r="AS362" s="609" t="str">
        <f t="shared" si="78"/>
        <v/>
      </c>
      <c r="AT362" s="609" t="str">
        <f t="shared" si="78"/>
        <v/>
      </c>
      <c r="AU362" s="609" t="str">
        <f t="shared" si="78"/>
        <v/>
      </c>
      <c r="AV362" s="609" t="str">
        <f t="shared" si="78"/>
        <v/>
      </c>
      <c r="AW362" s="609" t="str">
        <f t="shared" si="78"/>
        <v/>
      </c>
      <c r="AX362" s="609" t="str">
        <f t="shared" si="78"/>
        <v/>
      </c>
      <c r="AY362" s="609" t="str">
        <f t="shared" si="78"/>
        <v/>
      </c>
      <c r="AZ362" s="609" t="str">
        <f t="shared" si="78"/>
        <v/>
      </c>
      <c r="BA362" s="609" t="str">
        <f t="shared" si="78"/>
        <v/>
      </c>
      <c r="BB362" s="609" t="str">
        <f t="shared" ref="BB362:BG377" si="81">IF($D362=BB$6,$B362&amp;", ","")</f>
        <v/>
      </c>
      <c r="BC362" s="609" t="str">
        <f t="shared" si="81"/>
        <v/>
      </c>
      <c r="BD362" s="609" t="str">
        <f t="shared" si="81"/>
        <v/>
      </c>
      <c r="BE362" s="609" t="str">
        <f t="shared" si="81"/>
        <v/>
      </c>
      <c r="BF362" s="609" t="str">
        <f t="shared" si="81"/>
        <v/>
      </c>
      <c r="BG362" s="609" t="str">
        <f t="shared" si="81"/>
        <v/>
      </c>
    </row>
    <row r="363" spans="2:59" x14ac:dyDescent="0.25">
      <c r="B363" s="654">
        <v>357</v>
      </c>
      <c r="C363" s="654"/>
      <c r="D363" s="654"/>
      <c r="E363" s="655"/>
      <c r="F363" s="654"/>
      <c r="H363" s="609" t="str">
        <f t="shared" si="80"/>
        <v/>
      </c>
      <c r="I363" s="609" t="str">
        <f t="shared" si="80"/>
        <v/>
      </c>
      <c r="J363" s="609" t="str">
        <f t="shared" si="80"/>
        <v/>
      </c>
      <c r="K363" s="609" t="str">
        <f t="shared" si="80"/>
        <v/>
      </c>
      <c r="L363" s="609" t="str">
        <f t="shared" si="80"/>
        <v/>
      </c>
      <c r="M363" s="609" t="str">
        <f t="shared" si="80"/>
        <v/>
      </c>
      <c r="N363" s="609" t="str">
        <f t="shared" si="80"/>
        <v/>
      </c>
      <c r="O363" s="609" t="str">
        <f t="shared" si="80"/>
        <v/>
      </c>
      <c r="P363" s="609" t="str">
        <f t="shared" si="80"/>
        <v/>
      </c>
      <c r="Q363" s="609" t="str">
        <f t="shared" si="80"/>
        <v/>
      </c>
      <c r="R363" s="609" t="str">
        <f t="shared" si="80"/>
        <v/>
      </c>
      <c r="S363" s="609" t="str">
        <f t="shared" si="80"/>
        <v/>
      </c>
      <c r="T363" s="609" t="str">
        <f t="shared" si="80"/>
        <v/>
      </c>
      <c r="U363" s="609" t="str">
        <f t="shared" si="80"/>
        <v/>
      </c>
      <c r="V363" s="609" t="str">
        <f t="shared" si="80"/>
        <v/>
      </c>
      <c r="W363" s="609" t="str">
        <f t="shared" si="80"/>
        <v/>
      </c>
      <c r="X363" s="609" t="str">
        <f t="shared" si="79"/>
        <v/>
      </c>
      <c r="Y363" s="609" t="str">
        <f t="shared" si="79"/>
        <v/>
      </c>
      <c r="Z363" s="609" t="str">
        <f t="shared" si="79"/>
        <v/>
      </c>
      <c r="AA363" s="609" t="str">
        <f t="shared" si="79"/>
        <v/>
      </c>
      <c r="AB363" s="609" t="str">
        <f t="shared" si="79"/>
        <v/>
      </c>
      <c r="AC363" s="609" t="str">
        <f t="shared" si="79"/>
        <v/>
      </c>
      <c r="AD363" s="609" t="str">
        <f t="shared" si="79"/>
        <v/>
      </c>
      <c r="AE363" s="609" t="str">
        <f t="shared" si="79"/>
        <v/>
      </c>
      <c r="AF363" s="609" t="str">
        <f t="shared" si="79"/>
        <v/>
      </c>
      <c r="AG363" s="609" t="str">
        <f t="shared" si="79"/>
        <v/>
      </c>
      <c r="AH363" s="609" t="str">
        <f t="shared" si="79"/>
        <v/>
      </c>
      <c r="AI363" s="609" t="str">
        <f t="shared" si="79"/>
        <v/>
      </c>
      <c r="AJ363" s="609" t="str">
        <f t="shared" si="79"/>
        <v/>
      </c>
      <c r="AK363" s="609" t="str">
        <f t="shared" si="79"/>
        <v/>
      </c>
      <c r="AL363" s="609" t="str">
        <f t="shared" si="79"/>
        <v/>
      </c>
      <c r="AM363" s="609" t="str">
        <f t="shared" ref="AM363:BB378" si="82">IF($D363=AM$6,$B363&amp;", ","")</f>
        <v/>
      </c>
      <c r="AN363" s="609" t="str">
        <f t="shared" si="82"/>
        <v/>
      </c>
      <c r="AO363" s="609" t="str">
        <f t="shared" si="82"/>
        <v/>
      </c>
      <c r="AP363" s="609" t="str">
        <f t="shared" si="82"/>
        <v/>
      </c>
      <c r="AQ363" s="609" t="str">
        <f t="shared" si="82"/>
        <v/>
      </c>
      <c r="AR363" s="609" t="str">
        <f t="shared" si="82"/>
        <v/>
      </c>
      <c r="AS363" s="609" t="str">
        <f t="shared" si="82"/>
        <v/>
      </c>
      <c r="AT363" s="609" t="str">
        <f t="shared" si="82"/>
        <v/>
      </c>
      <c r="AU363" s="609" t="str">
        <f t="shared" si="82"/>
        <v/>
      </c>
      <c r="AV363" s="609" t="str">
        <f t="shared" si="82"/>
        <v/>
      </c>
      <c r="AW363" s="609" t="str">
        <f t="shared" si="82"/>
        <v/>
      </c>
      <c r="AX363" s="609" t="str">
        <f t="shared" si="82"/>
        <v/>
      </c>
      <c r="AY363" s="609" t="str">
        <f t="shared" si="82"/>
        <v/>
      </c>
      <c r="AZ363" s="609" t="str">
        <f t="shared" si="82"/>
        <v/>
      </c>
      <c r="BA363" s="609" t="str">
        <f t="shared" si="82"/>
        <v/>
      </c>
      <c r="BB363" s="609" t="str">
        <f t="shared" si="82"/>
        <v/>
      </c>
      <c r="BC363" s="609" t="str">
        <f t="shared" si="81"/>
        <v/>
      </c>
      <c r="BD363" s="609" t="str">
        <f t="shared" si="81"/>
        <v/>
      </c>
      <c r="BE363" s="609" t="str">
        <f t="shared" si="81"/>
        <v/>
      </c>
      <c r="BF363" s="609" t="str">
        <f t="shared" si="81"/>
        <v/>
      </c>
      <c r="BG363" s="609" t="str">
        <f t="shared" si="81"/>
        <v/>
      </c>
    </row>
    <row r="364" spans="2:59" x14ac:dyDescent="0.25">
      <c r="B364" s="654">
        <v>358</v>
      </c>
      <c r="C364" s="654"/>
      <c r="D364" s="654"/>
      <c r="E364" s="655"/>
      <c r="F364" s="654"/>
      <c r="H364" s="609" t="str">
        <f t="shared" si="80"/>
        <v/>
      </c>
      <c r="I364" s="609" t="str">
        <f t="shared" si="80"/>
        <v/>
      </c>
      <c r="J364" s="609" t="str">
        <f t="shared" si="80"/>
        <v/>
      </c>
      <c r="K364" s="609" t="str">
        <f t="shared" si="80"/>
        <v/>
      </c>
      <c r="L364" s="609" t="str">
        <f t="shared" si="80"/>
        <v/>
      </c>
      <c r="M364" s="609" t="str">
        <f t="shared" si="80"/>
        <v/>
      </c>
      <c r="N364" s="609" t="str">
        <f t="shared" si="80"/>
        <v/>
      </c>
      <c r="O364" s="609" t="str">
        <f t="shared" si="80"/>
        <v/>
      </c>
      <c r="P364" s="609" t="str">
        <f t="shared" si="80"/>
        <v/>
      </c>
      <c r="Q364" s="609" t="str">
        <f t="shared" si="80"/>
        <v/>
      </c>
      <c r="R364" s="609" t="str">
        <f t="shared" si="80"/>
        <v/>
      </c>
      <c r="S364" s="609" t="str">
        <f t="shared" si="80"/>
        <v/>
      </c>
      <c r="T364" s="609" t="str">
        <f t="shared" si="80"/>
        <v/>
      </c>
      <c r="U364" s="609" t="str">
        <f t="shared" si="80"/>
        <v/>
      </c>
      <c r="V364" s="609" t="str">
        <f t="shared" si="80"/>
        <v/>
      </c>
      <c r="W364" s="609" t="str">
        <f t="shared" si="80"/>
        <v/>
      </c>
      <c r="X364" s="609" t="str">
        <f t="shared" si="79"/>
        <v/>
      </c>
      <c r="Y364" s="609" t="str">
        <f t="shared" si="79"/>
        <v/>
      </c>
      <c r="Z364" s="609" t="str">
        <f t="shared" si="79"/>
        <v/>
      </c>
      <c r="AA364" s="609" t="str">
        <f t="shared" si="79"/>
        <v/>
      </c>
      <c r="AB364" s="609" t="str">
        <f t="shared" si="79"/>
        <v/>
      </c>
      <c r="AC364" s="609" t="str">
        <f t="shared" si="79"/>
        <v/>
      </c>
      <c r="AD364" s="609" t="str">
        <f t="shared" si="79"/>
        <v/>
      </c>
      <c r="AE364" s="609" t="str">
        <f t="shared" si="79"/>
        <v/>
      </c>
      <c r="AF364" s="609" t="str">
        <f t="shared" si="79"/>
        <v/>
      </c>
      <c r="AG364" s="609" t="str">
        <f t="shared" si="79"/>
        <v/>
      </c>
      <c r="AH364" s="609" t="str">
        <f t="shared" si="79"/>
        <v/>
      </c>
      <c r="AI364" s="609" t="str">
        <f t="shared" si="79"/>
        <v/>
      </c>
      <c r="AJ364" s="609" t="str">
        <f t="shared" si="79"/>
        <v/>
      </c>
      <c r="AK364" s="609" t="str">
        <f t="shared" si="79"/>
        <v/>
      </c>
      <c r="AL364" s="609" t="str">
        <f t="shared" si="79"/>
        <v/>
      </c>
      <c r="AM364" s="609" t="str">
        <f t="shared" si="82"/>
        <v/>
      </c>
      <c r="AN364" s="609" t="str">
        <f t="shared" si="82"/>
        <v/>
      </c>
      <c r="AO364" s="609" t="str">
        <f t="shared" si="82"/>
        <v/>
      </c>
      <c r="AP364" s="609" t="str">
        <f t="shared" si="82"/>
        <v/>
      </c>
      <c r="AQ364" s="609" t="str">
        <f t="shared" si="82"/>
        <v/>
      </c>
      <c r="AR364" s="609" t="str">
        <f t="shared" si="82"/>
        <v/>
      </c>
      <c r="AS364" s="609" t="str">
        <f t="shared" si="82"/>
        <v/>
      </c>
      <c r="AT364" s="609" t="str">
        <f t="shared" si="82"/>
        <v/>
      </c>
      <c r="AU364" s="609" t="str">
        <f t="shared" si="82"/>
        <v/>
      </c>
      <c r="AV364" s="609" t="str">
        <f t="shared" si="82"/>
        <v/>
      </c>
      <c r="AW364" s="609" t="str">
        <f t="shared" si="82"/>
        <v/>
      </c>
      <c r="AX364" s="609" t="str">
        <f t="shared" si="82"/>
        <v/>
      </c>
      <c r="AY364" s="609" t="str">
        <f t="shared" si="82"/>
        <v/>
      </c>
      <c r="AZ364" s="609" t="str">
        <f t="shared" si="82"/>
        <v/>
      </c>
      <c r="BA364" s="609" t="str">
        <f t="shared" si="82"/>
        <v/>
      </c>
      <c r="BB364" s="609" t="str">
        <f t="shared" si="82"/>
        <v/>
      </c>
      <c r="BC364" s="609" t="str">
        <f t="shared" si="81"/>
        <v/>
      </c>
      <c r="BD364" s="609" t="str">
        <f t="shared" si="81"/>
        <v/>
      </c>
      <c r="BE364" s="609" t="str">
        <f t="shared" si="81"/>
        <v/>
      </c>
      <c r="BF364" s="609" t="str">
        <f t="shared" si="81"/>
        <v/>
      </c>
      <c r="BG364" s="609" t="str">
        <f t="shared" si="81"/>
        <v/>
      </c>
    </row>
    <row r="365" spans="2:59" x14ac:dyDescent="0.25">
      <c r="B365" s="654">
        <v>359</v>
      </c>
      <c r="C365" s="654"/>
      <c r="D365" s="654"/>
      <c r="E365" s="655"/>
      <c r="F365" s="654"/>
      <c r="H365" s="609" t="str">
        <f t="shared" si="80"/>
        <v/>
      </c>
      <c r="I365" s="609" t="str">
        <f t="shared" si="80"/>
        <v/>
      </c>
      <c r="J365" s="609" t="str">
        <f t="shared" si="80"/>
        <v/>
      </c>
      <c r="K365" s="609" t="str">
        <f t="shared" si="80"/>
        <v/>
      </c>
      <c r="L365" s="609" t="str">
        <f t="shared" si="80"/>
        <v/>
      </c>
      <c r="M365" s="609" t="str">
        <f t="shared" si="80"/>
        <v/>
      </c>
      <c r="N365" s="609" t="str">
        <f t="shared" si="80"/>
        <v/>
      </c>
      <c r="O365" s="609" t="str">
        <f t="shared" si="80"/>
        <v/>
      </c>
      <c r="P365" s="609" t="str">
        <f t="shared" si="80"/>
        <v/>
      </c>
      <c r="Q365" s="609" t="str">
        <f t="shared" si="80"/>
        <v/>
      </c>
      <c r="R365" s="609" t="str">
        <f t="shared" si="80"/>
        <v/>
      </c>
      <c r="S365" s="609" t="str">
        <f t="shared" si="80"/>
        <v/>
      </c>
      <c r="T365" s="609" t="str">
        <f t="shared" si="80"/>
        <v/>
      </c>
      <c r="U365" s="609" t="str">
        <f t="shared" si="80"/>
        <v/>
      </c>
      <c r="V365" s="609" t="str">
        <f t="shared" si="80"/>
        <v/>
      </c>
      <c r="W365" s="609" t="str">
        <f t="shared" si="80"/>
        <v/>
      </c>
      <c r="X365" s="609" t="str">
        <f t="shared" si="79"/>
        <v/>
      </c>
      <c r="Y365" s="609" t="str">
        <f t="shared" si="79"/>
        <v/>
      </c>
      <c r="Z365" s="609" t="str">
        <f t="shared" si="79"/>
        <v/>
      </c>
      <c r="AA365" s="609" t="str">
        <f t="shared" si="79"/>
        <v/>
      </c>
      <c r="AB365" s="609" t="str">
        <f t="shared" si="79"/>
        <v/>
      </c>
      <c r="AC365" s="609" t="str">
        <f t="shared" si="79"/>
        <v/>
      </c>
      <c r="AD365" s="609" t="str">
        <f t="shared" si="79"/>
        <v/>
      </c>
      <c r="AE365" s="609" t="str">
        <f t="shared" si="79"/>
        <v/>
      </c>
      <c r="AF365" s="609" t="str">
        <f t="shared" si="79"/>
        <v/>
      </c>
      <c r="AG365" s="609" t="str">
        <f t="shared" si="79"/>
        <v/>
      </c>
      <c r="AH365" s="609" t="str">
        <f t="shared" si="79"/>
        <v/>
      </c>
      <c r="AI365" s="609" t="str">
        <f t="shared" si="79"/>
        <v/>
      </c>
      <c r="AJ365" s="609" t="str">
        <f t="shared" si="79"/>
        <v/>
      </c>
      <c r="AK365" s="609" t="str">
        <f t="shared" si="79"/>
        <v/>
      </c>
      <c r="AL365" s="609" t="str">
        <f t="shared" si="79"/>
        <v/>
      </c>
      <c r="AM365" s="609" t="str">
        <f t="shared" si="82"/>
        <v/>
      </c>
      <c r="AN365" s="609" t="str">
        <f t="shared" si="82"/>
        <v/>
      </c>
      <c r="AO365" s="609" t="str">
        <f t="shared" si="82"/>
        <v/>
      </c>
      <c r="AP365" s="609" t="str">
        <f t="shared" si="82"/>
        <v/>
      </c>
      <c r="AQ365" s="609" t="str">
        <f t="shared" si="82"/>
        <v/>
      </c>
      <c r="AR365" s="609" t="str">
        <f t="shared" si="82"/>
        <v/>
      </c>
      <c r="AS365" s="609" t="str">
        <f t="shared" si="82"/>
        <v/>
      </c>
      <c r="AT365" s="609" t="str">
        <f t="shared" si="82"/>
        <v/>
      </c>
      <c r="AU365" s="609" t="str">
        <f t="shared" si="82"/>
        <v/>
      </c>
      <c r="AV365" s="609" t="str">
        <f t="shared" si="82"/>
        <v/>
      </c>
      <c r="AW365" s="609" t="str">
        <f t="shared" si="82"/>
        <v/>
      </c>
      <c r="AX365" s="609" t="str">
        <f t="shared" si="82"/>
        <v/>
      </c>
      <c r="AY365" s="609" t="str">
        <f t="shared" si="82"/>
        <v/>
      </c>
      <c r="AZ365" s="609" t="str">
        <f t="shared" si="82"/>
        <v/>
      </c>
      <c r="BA365" s="609" t="str">
        <f t="shared" si="82"/>
        <v/>
      </c>
      <c r="BB365" s="609" t="str">
        <f t="shared" si="82"/>
        <v/>
      </c>
      <c r="BC365" s="609" t="str">
        <f t="shared" si="81"/>
        <v/>
      </c>
      <c r="BD365" s="609" t="str">
        <f t="shared" si="81"/>
        <v/>
      </c>
      <c r="BE365" s="609" t="str">
        <f t="shared" si="81"/>
        <v/>
      </c>
      <c r="BF365" s="609" t="str">
        <f t="shared" si="81"/>
        <v/>
      </c>
      <c r="BG365" s="609" t="str">
        <f t="shared" si="81"/>
        <v/>
      </c>
    </row>
    <row r="366" spans="2:59" x14ac:dyDescent="0.25">
      <c r="B366" s="654">
        <v>360</v>
      </c>
      <c r="C366" s="654"/>
      <c r="D366" s="654"/>
      <c r="E366" s="655"/>
      <c r="F366" s="654"/>
      <c r="H366" s="609" t="str">
        <f t="shared" si="80"/>
        <v/>
      </c>
      <c r="I366" s="609" t="str">
        <f t="shared" si="80"/>
        <v/>
      </c>
      <c r="J366" s="609" t="str">
        <f t="shared" si="80"/>
        <v/>
      </c>
      <c r="K366" s="609" t="str">
        <f t="shared" si="80"/>
        <v/>
      </c>
      <c r="L366" s="609" t="str">
        <f t="shared" si="80"/>
        <v/>
      </c>
      <c r="M366" s="609" t="str">
        <f t="shared" si="80"/>
        <v/>
      </c>
      <c r="N366" s="609" t="str">
        <f t="shared" si="80"/>
        <v/>
      </c>
      <c r="O366" s="609" t="str">
        <f t="shared" si="80"/>
        <v/>
      </c>
      <c r="P366" s="609" t="str">
        <f t="shared" si="80"/>
        <v/>
      </c>
      <c r="Q366" s="609" t="str">
        <f t="shared" si="80"/>
        <v/>
      </c>
      <c r="R366" s="609" t="str">
        <f t="shared" si="80"/>
        <v/>
      </c>
      <c r="S366" s="609" t="str">
        <f t="shared" si="80"/>
        <v/>
      </c>
      <c r="T366" s="609" t="str">
        <f t="shared" si="80"/>
        <v/>
      </c>
      <c r="U366" s="609" t="str">
        <f t="shared" si="80"/>
        <v/>
      </c>
      <c r="V366" s="609" t="str">
        <f t="shared" si="80"/>
        <v/>
      </c>
      <c r="W366" s="609" t="str">
        <f t="shared" si="80"/>
        <v/>
      </c>
      <c r="X366" s="609" t="str">
        <f t="shared" si="79"/>
        <v/>
      </c>
      <c r="Y366" s="609" t="str">
        <f t="shared" si="79"/>
        <v/>
      </c>
      <c r="Z366" s="609" t="str">
        <f t="shared" si="79"/>
        <v/>
      </c>
      <c r="AA366" s="609" t="str">
        <f t="shared" si="79"/>
        <v/>
      </c>
      <c r="AB366" s="609" t="str">
        <f t="shared" si="79"/>
        <v/>
      </c>
      <c r="AC366" s="609" t="str">
        <f t="shared" si="79"/>
        <v/>
      </c>
      <c r="AD366" s="609" t="str">
        <f t="shared" si="79"/>
        <v/>
      </c>
      <c r="AE366" s="609" t="str">
        <f t="shared" si="79"/>
        <v/>
      </c>
      <c r="AF366" s="609" t="str">
        <f t="shared" si="79"/>
        <v/>
      </c>
      <c r="AG366" s="609" t="str">
        <f t="shared" si="79"/>
        <v/>
      </c>
      <c r="AH366" s="609" t="str">
        <f t="shared" si="79"/>
        <v/>
      </c>
      <c r="AI366" s="609" t="str">
        <f t="shared" si="79"/>
        <v/>
      </c>
      <c r="AJ366" s="609" t="str">
        <f t="shared" si="79"/>
        <v/>
      </c>
      <c r="AK366" s="609" t="str">
        <f t="shared" si="79"/>
        <v/>
      </c>
      <c r="AL366" s="609" t="str">
        <f t="shared" si="79"/>
        <v/>
      </c>
      <c r="AM366" s="609" t="str">
        <f t="shared" si="82"/>
        <v/>
      </c>
      <c r="AN366" s="609" t="str">
        <f t="shared" si="82"/>
        <v/>
      </c>
      <c r="AO366" s="609" t="str">
        <f t="shared" si="82"/>
        <v/>
      </c>
      <c r="AP366" s="609" t="str">
        <f t="shared" si="82"/>
        <v/>
      </c>
      <c r="AQ366" s="609" t="str">
        <f t="shared" si="82"/>
        <v/>
      </c>
      <c r="AR366" s="609" t="str">
        <f t="shared" si="82"/>
        <v/>
      </c>
      <c r="AS366" s="609" t="str">
        <f t="shared" si="82"/>
        <v/>
      </c>
      <c r="AT366" s="609" t="str">
        <f t="shared" si="82"/>
        <v/>
      </c>
      <c r="AU366" s="609" t="str">
        <f t="shared" si="82"/>
        <v/>
      </c>
      <c r="AV366" s="609" t="str">
        <f t="shared" si="82"/>
        <v/>
      </c>
      <c r="AW366" s="609" t="str">
        <f t="shared" si="82"/>
        <v/>
      </c>
      <c r="AX366" s="609" t="str">
        <f t="shared" si="82"/>
        <v/>
      </c>
      <c r="AY366" s="609" t="str">
        <f t="shared" si="82"/>
        <v/>
      </c>
      <c r="AZ366" s="609" t="str">
        <f t="shared" si="82"/>
        <v/>
      </c>
      <c r="BA366" s="609" t="str">
        <f t="shared" si="82"/>
        <v/>
      </c>
      <c r="BB366" s="609" t="str">
        <f t="shared" si="82"/>
        <v/>
      </c>
      <c r="BC366" s="609" t="str">
        <f t="shared" si="81"/>
        <v/>
      </c>
      <c r="BD366" s="609" t="str">
        <f t="shared" si="81"/>
        <v/>
      </c>
      <c r="BE366" s="609" t="str">
        <f t="shared" si="81"/>
        <v/>
      </c>
      <c r="BF366" s="609" t="str">
        <f t="shared" si="81"/>
        <v/>
      </c>
      <c r="BG366" s="609" t="str">
        <f t="shared" si="81"/>
        <v/>
      </c>
    </row>
    <row r="367" spans="2:59" x14ac:dyDescent="0.25">
      <c r="B367" s="654">
        <v>361</v>
      </c>
      <c r="C367" s="654"/>
      <c r="D367" s="654"/>
      <c r="E367" s="655"/>
      <c r="F367" s="654"/>
      <c r="H367" s="609" t="str">
        <f t="shared" si="80"/>
        <v/>
      </c>
      <c r="I367" s="609" t="str">
        <f t="shared" si="80"/>
        <v/>
      </c>
      <c r="J367" s="609" t="str">
        <f t="shared" si="80"/>
        <v/>
      </c>
      <c r="K367" s="609" t="str">
        <f t="shared" si="80"/>
        <v/>
      </c>
      <c r="L367" s="609" t="str">
        <f t="shared" si="80"/>
        <v/>
      </c>
      <c r="M367" s="609" t="str">
        <f t="shared" si="80"/>
        <v/>
      </c>
      <c r="N367" s="609" t="str">
        <f t="shared" si="80"/>
        <v/>
      </c>
      <c r="O367" s="609" t="str">
        <f t="shared" si="80"/>
        <v/>
      </c>
      <c r="P367" s="609" t="str">
        <f t="shared" si="80"/>
        <v/>
      </c>
      <c r="Q367" s="609" t="str">
        <f t="shared" si="80"/>
        <v/>
      </c>
      <c r="R367" s="609" t="str">
        <f t="shared" si="80"/>
        <v/>
      </c>
      <c r="S367" s="609" t="str">
        <f t="shared" si="80"/>
        <v/>
      </c>
      <c r="T367" s="609" t="str">
        <f t="shared" si="80"/>
        <v/>
      </c>
      <c r="U367" s="609" t="str">
        <f t="shared" si="80"/>
        <v/>
      </c>
      <c r="V367" s="609" t="str">
        <f t="shared" si="80"/>
        <v/>
      </c>
      <c r="W367" s="609" t="str">
        <f t="shared" si="80"/>
        <v/>
      </c>
      <c r="X367" s="609" t="str">
        <f t="shared" si="79"/>
        <v/>
      </c>
      <c r="Y367" s="609" t="str">
        <f t="shared" si="79"/>
        <v/>
      </c>
      <c r="Z367" s="609" t="str">
        <f t="shared" si="79"/>
        <v/>
      </c>
      <c r="AA367" s="609" t="str">
        <f t="shared" si="79"/>
        <v/>
      </c>
      <c r="AB367" s="609" t="str">
        <f t="shared" si="79"/>
        <v/>
      </c>
      <c r="AC367" s="609" t="str">
        <f t="shared" si="79"/>
        <v/>
      </c>
      <c r="AD367" s="609" t="str">
        <f t="shared" si="79"/>
        <v/>
      </c>
      <c r="AE367" s="609" t="str">
        <f t="shared" si="79"/>
        <v/>
      </c>
      <c r="AF367" s="609" t="str">
        <f t="shared" si="79"/>
        <v/>
      </c>
      <c r="AG367" s="609" t="str">
        <f t="shared" si="79"/>
        <v/>
      </c>
      <c r="AH367" s="609" t="str">
        <f t="shared" si="79"/>
        <v/>
      </c>
      <c r="AI367" s="609" t="str">
        <f t="shared" si="79"/>
        <v/>
      </c>
      <c r="AJ367" s="609" t="str">
        <f t="shared" si="79"/>
        <v/>
      </c>
      <c r="AK367" s="609" t="str">
        <f t="shared" si="79"/>
        <v/>
      </c>
      <c r="AL367" s="609" t="str">
        <f t="shared" si="79"/>
        <v/>
      </c>
      <c r="AM367" s="609" t="str">
        <f t="shared" si="82"/>
        <v/>
      </c>
      <c r="AN367" s="609" t="str">
        <f t="shared" si="82"/>
        <v/>
      </c>
      <c r="AO367" s="609" t="str">
        <f t="shared" si="82"/>
        <v/>
      </c>
      <c r="AP367" s="609" t="str">
        <f t="shared" si="82"/>
        <v/>
      </c>
      <c r="AQ367" s="609" t="str">
        <f t="shared" si="82"/>
        <v/>
      </c>
      <c r="AR367" s="609" t="str">
        <f t="shared" si="82"/>
        <v/>
      </c>
      <c r="AS367" s="609" t="str">
        <f t="shared" si="82"/>
        <v/>
      </c>
      <c r="AT367" s="609" t="str">
        <f t="shared" si="82"/>
        <v/>
      </c>
      <c r="AU367" s="609" t="str">
        <f t="shared" si="82"/>
        <v/>
      </c>
      <c r="AV367" s="609" t="str">
        <f t="shared" si="82"/>
        <v/>
      </c>
      <c r="AW367" s="609" t="str">
        <f t="shared" si="82"/>
        <v/>
      </c>
      <c r="AX367" s="609" t="str">
        <f t="shared" si="82"/>
        <v/>
      </c>
      <c r="AY367" s="609" t="str">
        <f t="shared" si="82"/>
        <v/>
      </c>
      <c r="AZ367" s="609" t="str">
        <f t="shared" si="82"/>
        <v/>
      </c>
      <c r="BA367" s="609" t="str">
        <f t="shared" si="82"/>
        <v/>
      </c>
      <c r="BB367" s="609" t="str">
        <f t="shared" si="82"/>
        <v/>
      </c>
      <c r="BC367" s="609" t="str">
        <f t="shared" si="81"/>
        <v/>
      </c>
      <c r="BD367" s="609" t="str">
        <f t="shared" si="81"/>
        <v/>
      </c>
      <c r="BE367" s="609" t="str">
        <f t="shared" si="81"/>
        <v/>
      </c>
      <c r="BF367" s="609" t="str">
        <f t="shared" si="81"/>
        <v/>
      </c>
      <c r="BG367" s="609" t="str">
        <f t="shared" si="81"/>
        <v/>
      </c>
    </row>
    <row r="368" spans="2:59" x14ac:dyDescent="0.25">
      <c r="B368" s="654">
        <v>362</v>
      </c>
      <c r="C368" s="654"/>
      <c r="D368" s="654"/>
      <c r="E368" s="655"/>
      <c r="F368" s="654"/>
      <c r="H368" s="609" t="str">
        <f t="shared" si="80"/>
        <v/>
      </c>
      <c r="I368" s="609" t="str">
        <f t="shared" si="80"/>
        <v/>
      </c>
      <c r="J368" s="609" t="str">
        <f t="shared" si="80"/>
        <v/>
      </c>
      <c r="K368" s="609" t="str">
        <f t="shared" si="80"/>
        <v/>
      </c>
      <c r="L368" s="609" t="str">
        <f t="shared" si="80"/>
        <v/>
      </c>
      <c r="M368" s="609" t="str">
        <f t="shared" si="80"/>
        <v/>
      </c>
      <c r="N368" s="609" t="str">
        <f t="shared" si="80"/>
        <v/>
      </c>
      <c r="O368" s="609" t="str">
        <f t="shared" si="80"/>
        <v/>
      </c>
      <c r="P368" s="609" t="str">
        <f t="shared" si="80"/>
        <v/>
      </c>
      <c r="Q368" s="609" t="str">
        <f t="shared" si="80"/>
        <v/>
      </c>
      <c r="R368" s="609" t="str">
        <f t="shared" si="80"/>
        <v/>
      </c>
      <c r="S368" s="609" t="str">
        <f t="shared" si="80"/>
        <v/>
      </c>
      <c r="T368" s="609" t="str">
        <f t="shared" si="80"/>
        <v/>
      </c>
      <c r="U368" s="609" t="str">
        <f t="shared" si="80"/>
        <v/>
      </c>
      <c r="V368" s="609" t="str">
        <f t="shared" si="80"/>
        <v/>
      </c>
      <c r="W368" s="609" t="str">
        <f t="shared" si="80"/>
        <v/>
      </c>
      <c r="X368" s="609" t="str">
        <f t="shared" si="79"/>
        <v/>
      </c>
      <c r="Y368" s="609" t="str">
        <f t="shared" si="79"/>
        <v/>
      </c>
      <c r="Z368" s="609" t="str">
        <f t="shared" si="79"/>
        <v/>
      </c>
      <c r="AA368" s="609" t="str">
        <f t="shared" si="79"/>
        <v/>
      </c>
      <c r="AB368" s="609" t="str">
        <f t="shared" si="79"/>
        <v/>
      </c>
      <c r="AC368" s="609" t="str">
        <f t="shared" si="79"/>
        <v/>
      </c>
      <c r="AD368" s="609" t="str">
        <f t="shared" si="79"/>
        <v/>
      </c>
      <c r="AE368" s="609" t="str">
        <f t="shared" si="79"/>
        <v/>
      </c>
      <c r="AF368" s="609" t="str">
        <f t="shared" si="79"/>
        <v/>
      </c>
      <c r="AG368" s="609" t="str">
        <f t="shared" si="79"/>
        <v/>
      </c>
      <c r="AH368" s="609" t="str">
        <f t="shared" si="79"/>
        <v/>
      </c>
      <c r="AI368" s="609" t="str">
        <f t="shared" si="79"/>
        <v/>
      </c>
      <c r="AJ368" s="609" t="str">
        <f t="shared" si="79"/>
        <v/>
      </c>
      <c r="AK368" s="609" t="str">
        <f t="shared" si="79"/>
        <v/>
      </c>
      <c r="AL368" s="609" t="str">
        <f t="shared" si="79"/>
        <v/>
      </c>
      <c r="AM368" s="609" t="str">
        <f t="shared" si="82"/>
        <v/>
      </c>
      <c r="AN368" s="609" t="str">
        <f t="shared" si="82"/>
        <v/>
      </c>
      <c r="AO368" s="609" t="str">
        <f t="shared" si="82"/>
        <v/>
      </c>
      <c r="AP368" s="609" t="str">
        <f t="shared" si="82"/>
        <v/>
      </c>
      <c r="AQ368" s="609" t="str">
        <f t="shared" si="82"/>
        <v/>
      </c>
      <c r="AR368" s="609" t="str">
        <f t="shared" si="82"/>
        <v/>
      </c>
      <c r="AS368" s="609" t="str">
        <f t="shared" si="82"/>
        <v/>
      </c>
      <c r="AT368" s="609" t="str">
        <f t="shared" si="82"/>
        <v/>
      </c>
      <c r="AU368" s="609" t="str">
        <f t="shared" si="82"/>
        <v/>
      </c>
      <c r="AV368" s="609" t="str">
        <f t="shared" si="82"/>
        <v/>
      </c>
      <c r="AW368" s="609" t="str">
        <f t="shared" si="82"/>
        <v/>
      </c>
      <c r="AX368" s="609" t="str">
        <f t="shared" si="82"/>
        <v/>
      </c>
      <c r="AY368" s="609" t="str">
        <f t="shared" si="82"/>
        <v/>
      </c>
      <c r="AZ368" s="609" t="str">
        <f t="shared" si="82"/>
        <v/>
      </c>
      <c r="BA368" s="609" t="str">
        <f t="shared" si="82"/>
        <v/>
      </c>
      <c r="BB368" s="609" t="str">
        <f t="shared" si="82"/>
        <v/>
      </c>
      <c r="BC368" s="609" t="str">
        <f t="shared" si="81"/>
        <v/>
      </c>
      <c r="BD368" s="609" t="str">
        <f t="shared" si="81"/>
        <v/>
      </c>
      <c r="BE368" s="609" t="str">
        <f t="shared" si="81"/>
        <v/>
      </c>
      <c r="BF368" s="609" t="str">
        <f t="shared" si="81"/>
        <v/>
      </c>
      <c r="BG368" s="609" t="str">
        <f t="shared" si="81"/>
        <v/>
      </c>
    </row>
    <row r="369" spans="2:59" x14ac:dyDescent="0.25">
      <c r="B369" s="654">
        <v>363</v>
      </c>
      <c r="C369" s="654"/>
      <c r="D369" s="654"/>
      <c r="E369" s="655"/>
      <c r="F369" s="654"/>
      <c r="H369" s="609" t="str">
        <f t="shared" si="80"/>
        <v/>
      </c>
      <c r="I369" s="609" t="str">
        <f t="shared" si="80"/>
        <v/>
      </c>
      <c r="J369" s="609" t="str">
        <f t="shared" si="80"/>
        <v/>
      </c>
      <c r="K369" s="609" t="str">
        <f t="shared" si="80"/>
        <v/>
      </c>
      <c r="L369" s="609" t="str">
        <f t="shared" si="80"/>
        <v/>
      </c>
      <c r="M369" s="609" t="str">
        <f t="shared" si="80"/>
        <v/>
      </c>
      <c r="N369" s="609" t="str">
        <f t="shared" si="80"/>
        <v/>
      </c>
      <c r="O369" s="609" t="str">
        <f t="shared" si="80"/>
        <v/>
      </c>
      <c r="P369" s="609" t="str">
        <f t="shared" si="80"/>
        <v/>
      </c>
      <c r="Q369" s="609" t="str">
        <f t="shared" si="80"/>
        <v/>
      </c>
      <c r="R369" s="609" t="str">
        <f t="shared" si="80"/>
        <v/>
      </c>
      <c r="S369" s="609" t="str">
        <f t="shared" si="80"/>
        <v/>
      </c>
      <c r="T369" s="609" t="str">
        <f t="shared" si="80"/>
        <v/>
      </c>
      <c r="U369" s="609" t="str">
        <f t="shared" si="80"/>
        <v/>
      </c>
      <c r="V369" s="609" t="str">
        <f t="shared" si="80"/>
        <v/>
      </c>
      <c r="W369" s="609" t="str">
        <f t="shared" si="80"/>
        <v/>
      </c>
      <c r="X369" s="609" t="str">
        <f t="shared" si="79"/>
        <v/>
      </c>
      <c r="Y369" s="609" t="str">
        <f t="shared" si="79"/>
        <v/>
      </c>
      <c r="Z369" s="609" t="str">
        <f t="shared" si="79"/>
        <v/>
      </c>
      <c r="AA369" s="609" t="str">
        <f t="shared" si="79"/>
        <v/>
      </c>
      <c r="AB369" s="609" t="str">
        <f t="shared" si="79"/>
        <v/>
      </c>
      <c r="AC369" s="609" t="str">
        <f t="shared" si="79"/>
        <v/>
      </c>
      <c r="AD369" s="609" t="str">
        <f t="shared" si="79"/>
        <v/>
      </c>
      <c r="AE369" s="609" t="str">
        <f t="shared" si="79"/>
        <v/>
      </c>
      <c r="AF369" s="609" t="str">
        <f t="shared" si="79"/>
        <v/>
      </c>
      <c r="AG369" s="609" t="str">
        <f t="shared" si="79"/>
        <v/>
      </c>
      <c r="AH369" s="609" t="str">
        <f t="shared" si="79"/>
        <v/>
      </c>
      <c r="AI369" s="609" t="str">
        <f t="shared" si="79"/>
        <v/>
      </c>
      <c r="AJ369" s="609" t="str">
        <f t="shared" si="79"/>
        <v/>
      </c>
      <c r="AK369" s="609" t="str">
        <f t="shared" si="79"/>
        <v/>
      </c>
      <c r="AL369" s="609" t="str">
        <f t="shared" si="79"/>
        <v/>
      </c>
      <c r="AM369" s="609" t="str">
        <f t="shared" si="82"/>
        <v/>
      </c>
      <c r="AN369" s="609" t="str">
        <f t="shared" si="82"/>
        <v/>
      </c>
      <c r="AO369" s="609" t="str">
        <f t="shared" si="82"/>
        <v/>
      </c>
      <c r="AP369" s="609" t="str">
        <f t="shared" si="82"/>
        <v/>
      </c>
      <c r="AQ369" s="609" t="str">
        <f t="shared" si="82"/>
        <v/>
      </c>
      <c r="AR369" s="609" t="str">
        <f t="shared" si="82"/>
        <v/>
      </c>
      <c r="AS369" s="609" t="str">
        <f t="shared" si="82"/>
        <v/>
      </c>
      <c r="AT369" s="609" t="str">
        <f t="shared" si="82"/>
        <v/>
      </c>
      <c r="AU369" s="609" t="str">
        <f t="shared" si="82"/>
        <v/>
      </c>
      <c r="AV369" s="609" t="str">
        <f t="shared" si="82"/>
        <v/>
      </c>
      <c r="AW369" s="609" t="str">
        <f t="shared" si="82"/>
        <v/>
      </c>
      <c r="AX369" s="609" t="str">
        <f t="shared" si="82"/>
        <v/>
      </c>
      <c r="AY369" s="609" t="str">
        <f t="shared" si="82"/>
        <v/>
      </c>
      <c r="AZ369" s="609" t="str">
        <f t="shared" si="82"/>
        <v/>
      </c>
      <c r="BA369" s="609" t="str">
        <f t="shared" si="82"/>
        <v/>
      </c>
      <c r="BB369" s="609" t="str">
        <f t="shared" si="82"/>
        <v/>
      </c>
      <c r="BC369" s="609" t="str">
        <f t="shared" si="81"/>
        <v/>
      </c>
      <c r="BD369" s="609" t="str">
        <f t="shared" si="81"/>
        <v/>
      </c>
      <c r="BE369" s="609" t="str">
        <f t="shared" si="81"/>
        <v/>
      </c>
      <c r="BF369" s="609" t="str">
        <f t="shared" si="81"/>
        <v/>
      </c>
      <c r="BG369" s="609" t="str">
        <f t="shared" si="81"/>
        <v/>
      </c>
    </row>
    <row r="370" spans="2:59" x14ac:dyDescent="0.25">
      <c r="B370" s="654">
        <v>364</v>
      </c>
      <c r="C370" s="654"/>
      <c r="D370" s="654"/>
      <c r="E370" s="655"/>
      <c r="F370" s="654"/>
      <c r="H370" s="609" t="str">
        <f t="shared" si="80"/>
        <v/>
      </c>
      <c r="I370" s="609" t="str">
        <f t="shared" si="80"/>
        <v/>
      </c>
      <c r="J370" s="609" t="str">
        <f t="shared" si="80"/>
        <v/>
      </c>
      <c r="K370" s="609" t="str">
        <f t="shared" si="80"/>
        <v/>
      </c>
      <c r="L370" s="609" t="str">
        <f t="shared" si="80"/>
        <v/>
      </c>
      <c r="M370" s="609" t="str">
        <f t="shared" si="80"/>
        <v/>
      </c>
      <c r="N370" s="609" t="str">
        <f t="shared" si="80"/>
        <v/>
      </c>
      <c r="O370" s="609" t="str">
        <f t="shared" si="80"/>
        <v/>
      </c>
      <c r="P370" s="609" t="str">
        <f t="shared" si="80"/>
        <v/>
      </c>
      <c r="Q370" s="609" t="str">
        <f t="shared" si="80"/>
        <v/>
      </c>
      <c r="R370" s="609" t="str">
        <f t="shared" si="80"/>
        <v/>
      </c>
      <c r="S370" s="609" t="str">
        <f t="shared" si="80"/>
        <v/>
      </c>
      <c r="T370" s="609" t="str">
        <f t="shared" si="80"/>
        <v/>
      </c>
      <c r="U370" s="609" t="str">
        <f t="shared" si="80"/>
        <v/>
      </c>
      <c r="V370" s="609" t="str">
        <f t="shared" si="80"/>
        <v/>
      </c>
      <c r="W370" s="609" t="str">
        <f t="shared" si="80"/>
        <v/>
      </c>
      <c r="X370" s="609" t="str">
        <f t="shared" si="79"/>
        <v/>
      </c>
      <c r="Y370" s="609" t="str">
        <f t="shared" si="79"/>
        <v/>
      </c>
      <c r="Z370" s="609" t="str">
        <f t="shared" si="79"/>
        <v/>
      </c>
      <c r="AA370" s="609" t="str">
        <f t="shared" si="79"/>
        <v/>
      </c>
      <c r="AB370" s="609" t="str">
        <f t="shared" si="79"/>
        <v/>
      </c>
      <c r="AC370" s="609" t="str">
        <f t="shared" si="79"/>
        <v/>
      </c>
      <c r="AD370" s="609" t="str">
        <f t="shared" si="79"/>
        <v/>
      </c>
      <c r="AE370" s="609" t="str">
        <f t="shared" si="79"/>
        <v/>
      </c>
      <c r="AF370" s="609" t="str">
        <f t="shared" si="79"/>
        <v/>
      </c>
      <c r="AG370" s="609" t="str">
        <f t="shared" si="79"/>
        <v/>
      </c>
      <c r="AH370" s="609" t="str">
        <f t="shared" si="79"/>
        <v/>
      </c>
      <c r="AI370" s="609" t="str">
        <f t="shared" si="79"/>
        <v/>
      </c>
      <c r="AJ370" s="609" t="str">
        <f t="shared" si="79"/>
        <v/>
      </c>
      <c r="AK370" s="609" t="str">
        <f t="shared" si="79"/>
        <v/>
      </c>
      <c r="AL370" s="609" t="str">
        <f t="shared" si="79"/>
        <v/>
      </c>
      <c r="AM370" s="609" t="str">
        <f t="shared" si="82"/>
        <v/>
      </c>
      <c r="AN370" s="609" t="str">
        <f t="shared" si="82"/>
        <v/>
      </c>
      <c r="AO370" s="609" t="str">
        <f t="shared" si="82"/>
        <v/>
      </c>
      <c r="AP370" s="609" t="str">
        <f t="shared" si="82"/>
        <v/>
      </c>
      <c r="AQ370" s="609" t="str">
        <f t="shared" si="82"/>
        <v/>
      </c>
      <c r="AR370" s="609" t="str">
        <f t="shared" si="82"/>
        <v/>
      </c>
      <c r="AS370" s="609" t="str">
        <f t="shared" si="82"/>
        <v/>
      </c>
      <c r="AT370" s="609" t="str">
        <f t="shared" si="82"/>
        <v/>
      </c>
      <c r="AU370" s="609" t="str">
        <f t="shared" si="82"/>
        <v/>
      </c>
      <c r="AV370" s="609" t="str">
        <f t="shared" si="82"/>
        <v/>
      </c>
      <c r="AW370" s="609" t="str">
        <f t="shared" si="82"/>
        <v/>
      </c>
      <c r="AX370" s="609" t="str">
        <f t="shared" si="82"/>
        <v/>
      </c>
      <c r="AY370" s="609" t="str">
        <f t="shared" si="82"/>
        <v/>
      </c>
      <c r="AZ370" s="609" t="str">
        <f t="shared" si="82"/>
        <v/>
      </c>
      <c r="BA370" s="609" t="str">
        <f t="shared" si="82"/>
        <v/>
      </c>
      <c r="BB370" s="609" t="str">
        <f t="shared" si="82"/>
        <v/>
      </c>
      <c r="BC370" s="609" t="str">
        <f t="shared" si="81"/>
        <v/>
      </c>
      <c r="BD370" s="609" t="str">
        <f t="shared" si="81"/>
        <v/>
      </c>
      <c r="BE370" s="609" t="str">
        <f t="shared" si="81"/>
        <v/>
      </c>
      <c r="BF370" s="609" t="str">
        <f t="shared" si="81"/>
        <v/>
      </c>
      <c r="BG370" s="609" t="str">
        <f t="shared" si="81"/>
        <v/>
      </c>
    </row>
    <row r="371" spans="2:59" x14ac:dyDescent="0.25">
      <c r="B371" s="654">
        <v>365</v>
      </c>
      <c r="C371" s="654"/>
      <c r="D371" s="654"/>
      <c r="E371" s="655"/>
      <c r="F371" s="654"/>
      <c r="H371" s="609" t="str">
        <f t="shared" si="80"/>
        <v/>
      </c>
      <c r="I371" s="609" t="str">
        <f t="shared" si="80"/>
        <v/>
      </c>
      <c r="J371" s="609" t="str">
        <f t="shared" si="80"/>
        <v/>
      </c>
      <c r="K371" s="609" t="str">
        <f t="shared" si="80"/>
        <v/>
      </c>
      <c r="L371" s="609" t="str">
        <f t="shared" si="80"/>
        <v/>
      </c>
      <c r="M371" s="609" t="str">
        <f t="shared" si="80"/>
        <v/>
      </c>
      <c r="N371" s="609" t="str">
        <f t="shared" si="80"/>
        <v/>
      </c>
      <c r="O371" s="609" t="str">
        <f t="shared" si="80"/>
        <v/>
      </c>
      <c r="P371" s="609" t="str">
        <f t="shared" si="80"/>
        <v/>
      </c>
      <c r="Q371" s="609" t="str">
        <f t="shared" si="80"/>
        <v/>
      </c>
      <c r="R371" s="609" t="str">
        <f t="shared" si="80"/>
        <v/>
      </c>
      <c r="S371" s="609" t="str">
        <f t="shared" si="80"/>
        <v/>
      </c>
      <c r="T371" s="609" t="str">
        <f t="shared" si="80"/>
        <v/>
      </c>
      <c r="U371" s="609" t="str">
        <f t="shared" si="80"/>
        <v/>
      </c>
      <c r="V371" s="609" t="str">
        <f t="shared" si="80"/>
        <v/>
      </c>
      <c r="W371" s="609" t="str">
        <f t="shared" si="80"/>
        <v/>
      </c>
      <c r="X371" s="609" t="str">
        <f t="shared" si="79"/>
        <v/>
      </c>
      <c r="Y371" s="609" t="str">
        <f t="shared" si="79"/>
        <v/>
      </c>
      <c r="Z371" s="609" t="str">
        <f t="shared" si="79"/>
        <v/>
      </c>
      <c r="AA371" s="609" t="str">
        <f t="shared" si="79"/>
        <v/>
      </c>
      <c r="AB371" s="609" t="str">
        <f t="shared" si="79"/>
        <v/>
      </c>
      <c r="AC371" s="609" t="str">
        <f t="shared" si="79"/>
        <v/>
      </c>
      <c r="AD371" s="609" t="str">
        <f t="shared" si="79"/>
        <v/>
      </c>
      <c r="AE371" s="609" t="str">
        <f t="shared" si="79"/>
        <v/>
      </c>
      <c r="AF371" s="609" t="str">
        <f t="shared" si="79"/>
        <v/>
      </c>
      <c r="AG371" s="609" t="str">
        <f t="shared" si="79"/>
        <v/>
      </c>
      <c r="AH371" s="609" t="str">
        <f t="shared" si="79"/>
        <v/>
      </c>
      <c r="AI371" s="609" t="str">
        <f t="shared" si="79"/>
        <v/>
      </c>
      <c r="AJ371" s="609" t="str">
        <f t="shared" si="79"/>
        <v/>
      </c>
      <c r="AK371" s="609" t="str">
        <f t="shared" si="79"/>
        <v/>
      </c>
      <c r="AL371" s="609" t="str">
        <f t="shared" si="79"/>
        <v/>
      </c>
      <c r="AM371" s="609" t="str">
        <f t="shared" si="82"/>
        <v/>
      </c>
      <c r="AN371" s="609" t="str">
        <f t="shared" si="82"/>
        <v/>
      </c>
      <c r="AO371" s="609" t="str">
        <f t="shared" si="82"/>
        <v/>
      </c>
      <c r="AP371" s="609" t="str">
        <f t="shared" si="82"/>
        <v/>
      </c>
      <c r="AQ371" s="609" t="str">
        <f t="shared" si="82"/>
        <v/>
      </c>
      <c r="AR371" s="609" t="str">
        <f t="shared" si="82"/>
        <v/>
      </c>
      <c r="AS371" s="609" t="str">
        <f t="shared" si="82"/>
        <v/>
      </c>
      <c r="AT371" s="609" t="str">
        <f t="shared" si="82"/>
        <v/>
      </c>
      <c r="AU371" s="609" t="str">
        <f t="shared" si="82"/>
        <v/>
      </c>
      <c r="AV371" s="609" t="str">
        <f t="shared" si="82"/>
        <v/>
      </c>
      <c r="AW371" s="609" t="str">
        <f t="shared" si="82"/>
        <v/>
      </c>
      <c r="AX371" s="609" t="str">
        <f t="shared" si="82"/>
        <v/>
      </c>
      <c r="AY371" s="609" t="str">
        <f t="shared" si="82"/>
        <v/>
      </c>
      <c r="AZ371" s="609" t="str">
        <f t="shared" si="82"/>
        <v/>
      </c>
      <c r="BA371" s="609" t="str">
        <f t="shared" si="82"/>
        <v/>
      </c>
      <c r="BB371" s="609" t="str">
        <f t="shared" si="82"/>
        <v/>
      </c>
      <c r="BC371" s="609" t="str">
        <f t="shared" si="81"/>
        <v/>
      </c>
      <c r="BD371" s="609" t="str">
        <f t="shared" si="81"/>
        <v/>
      </c>
      <c r="BE371" s="609" t="str">
        <f t="shared" si="81"/>
        <v/>
      </c>
      <c r="BF371" s="609" t="str">
        <f t="shared" si="81"/>
        <v/>
      </c>
      <c r="BG371" s="609" t="str">
        <f t="shared" si="81"/>
        <v/>
      </c>
    </row>
    <row r="372" spans="2:59" x14ac:dyDescent="0.25">
      <c r="B372" s="654">
        <v>366</v>
      </c>
      <c r="C372" s="654"/>
      <c r="D372" s="654"/>
      <c r="E372" s="655"/>
      <c r="F372" s="654"/>
      <c r="H372" s="609" t="str">
        <f t="shared" si="80"/>
        <v/>
      </c>
      <c r="I372" s="609" t="str">
        <f t="shared" si="80"/>
        <v/>
      </c>
      <c r="J372" s="609" t="str">
        <f t="shared" si="80"/>
        <v/>
      </c>
      <c r="K372" s="609" t="str">
        <f t="shared" si="80"/>
        <v/>
      </c>
      <c r="L372" s="609" t="str">
        <f t="shared" si="80"/>
        <v/>
      </c>
      <c r="M372" s="609" t="str">
        <f t="shared" si="80"/>
        <v/>
      </c>
      <c r="N372" s="609" t="str">
        <f t="shared" si="80"/>
        <v/>
      </c>
      <c r="O372" s="609" t="str">
        <f t="shared" si="80"/>
        <v/>
      </c>
      <c r="P372" s="609" t="str">
        <f t="shared" si="80"/>
        <v/>
      </c>
      <c r="Q372" s="609" t="str">
        <f t="shared" si="80"/>
        <v/>
      </c>
      <c r="R372" s="609" t="str">
        <f t="shared" si="80"/>
        <v/>
      </c>
      <c r="S372" s="609" t="str">
        <f t="shared" si="80"/>
        <v/>
      </c>
      <c r="T372" s="609" t="str">
        <f t="shared" si="80"/>
        <v/>
      </c>
      <c r="U372" s="609" t="str">
        <f t="shared" si="80"/>
        <v/>
      </c>
      <c r="V372" s="609" t="str">
        <f t="shared" si="80"/>
        <v/>
      </c>
      <c r="W372" s="609" t="str">
        <f t="shared" si="80"/>
        <v/>
      </c>
      <c r="X372" s="609" t="str">
        <f t="shared" si="79"/>
        <v/>
      </c>
      <c r="Y372" s="609" t="str">
        <f t="shared" si="79"/>
        <v/>
      </c>
      <c r="Z372" s="609" t="str">
        <f t="shared" si="79"/>
        <v/>
      </c>
      <c r="AA372" s="609" t="str">
        <f t="shared" si="79"/>
        <v/>
      </c>
      <c r="AB372" s="609" t="str">
        <f t="shared" si="79"/>
        <v/>
      </c>
      <c r="AC372" s="609" t="str">
        <f t="shared" si="79"/>
        <v/>
      </c>
      <c r="AD372" s="609" t="str">
        <f t="shared" si="79"/>
        <v/>
      </c>
      <c r="AE372" s="609" t="str">
        <f t="shared" si="79"/>
        <v/>
      </c>
      <c r="AF372" s="609" t="str">
        <f t="shared" si="79"/>
        <v/>
      </c>
      <c r="AG372" s="609" t="str">
        <f t="shared" si="79"/>
        <v/>
      </c>
      <c r="AH372" s="609" t="str">
        <f t="shared" si="79"/>
        <v/>
      </c>
      <c r="AI372" s="609" t="str">
        <f t="shared" si="79"/>
        <v/>
      </c>
      <c r="AJ372" s="609" t="str">
        <f t="shared" si="79"/>
        <v/>
      </c>
      <c r="AK372" s="609" t="str">
        <f t="shared" si="79"/>
        <v/>
      </c>
      <c r="AL372" s="609" t="str">
        <f t="shared" si="79"/>
        <v/>
      </c>
      <c r="AM372" s="609" t="str">
        <f t="shared" si="82"/>
        <v/>
      </c>
      <c r="AN372" s="609" t="str">
        <f t="shared" si="82"/>
        <v/>
      </c>
      <c r="AO372" s="609" t="str">
        <f t="shared" si="82"/>
        <v/>
      </c>
      <c r="AP372" s="609" t="str">
        <f t="shared" si="82"/>
        <v/>
      </c>
      <c r="AQ372" s="609" t="str">
        <f t="shared" si="82"/>
        <v/>
      </c>
      <c r="AR372" s="609" t="str">
        <f t="shared" si="82"/>
        <v/>
      </c>
      <c r="AS372" s="609" t="str">
        <f t="shared" si="82"/>
        <v/>
      </c>
      <c r="AT372" s="609" t="str">
        <f t="shared" si="82"/>
        <v/>
      </c>
      <c r="AU372" s="609" t="str">
        <f t="shared" si="82"/>
        <v/>
      </c>
      <c r="AV372" s="609" t="str">
        <f t="shared" si="82"/>
        <v/>
      </c>
      <c r="AW372" s="609" t="str">
        <f t="shared" si="82"/>
        <v/>
      </c>
      <c r="AX372" s="609" t="str">
        <f t="shared" si="82"/>
        <v/>
      </c>
      <c r="AY372" s="609" t="str">
        <f t="shared" si="82"/>
        <v/>
      </c>
      <c r="AZ372" s="609" t="str">
        <f t="shared" si="82"/>
        <v/>
      </c>
      <c r="BA372" s="609" t="str">
        <f t="shared" si="82"/>
        <v/>
      </c>
      <c r="BB372" s="609" t="str">
        <f t="shared" si="82"/>
        <v/>
      </c>
      <c r="BC372" s="609" t="str">
        <f t="shared" si="81"/>
        <v/>
      </c>
      <c r="BD372" s="609" t="str">
        <f t="shared" si="81"/>
        <v/>
      </c>
      <c r="BE372" s="609" t="str">
        <f t="shared" si="81"/>
        <v/>
      </c>
      <c r="BF372" s="609" t="str">
        <f t="shared" si="81"/>
        <v/>
      </c>
      <c r="BG372" s="609" t="str">
        <f t="shared" si="81"/>
        <v/>
      </c>
    </row>
    <row r="373" spans="2:59" x14ac:dyDescent="0.25">
      <c r="B373" s="654">
        <v>367</v>
      </c>
      <c r="C373" s="654"/>
      <c r="D373" s="654"/>
      <c r="E373" s="655"/>
      <c r="F373" s="654"/>
      <c r="H373" s="609" t="str">
        <f t="shared" si="80"/>
        <v/>
      </c>
      <c r="I373" s="609" t="str">
        <f t="shared" si="80"/>
        <v/>
      </c>
      <c r="J373" s="609" t="str">
        <f t="shared" si="80"/>
        <v/>
      </c>
      <c r="K373" s="609" t="str">
        <f t="shared" si="80"/>
        <v/>
      </c>
      <c r="L373" s="609" t="str">
        <f t="shared" si="80"/>
        <v/>
      </c>
      <c r="M373" s="609" t="str">
        <f t="shared" si="80"/>
        <v/>
      </c>
      <c r="N373" s="609" t="str">
        <f t="shared" si="80"/>
        <v/>
      </c>
      <c r="O373" s="609" t="str">
        <f t="shared" si="80"/>
        <v/>
      </c>
      <c r="P373" s="609" t="str">
        <f t="shared" si="80"/>
        <v/>
      </c>
      <c r="Q373" s="609" t="str">
        <f t="shared" si="80"/>
        <v/>
      </c>
      <c r="R373" s="609" t="str">
        <f t="shared" si="80"/>
        <v/>
      </c>
      <c r="S373" s="609" t="str">
        <f t="shared" si="80"/>
        <v/>
      </c>
      <c r="T373" s="609" t="str">
        <f t="shared" si="80"/>
        <v/>
      </c>
      <c r="U373" s="609" t="str">
        <f t="shared" si="80"/>
        <v/>
      </c>
      <c r="V373" s="609" t="str">
        <f t="shared" si="80"/>
        <v/>
      </c>
      <c r="W373" s="609" t="str">
        <f t="shared" ref="W373:AL388" si="83">IF($D373=W$6,$B373&amp;", ","")</f>
        <v/>
      </c>
      <c r="X373" s="609" t="str">
        <f t="shared" si="83"/>
        <v/>
      </c>
      <c r="Y373" s="609" t="str">
        <f t="shared" si="83"/>
        <v/>
      </c>
      <c r="Z373" s="609" t="str">
        <f t="shared" si="83"/>
        <v/>
      </c>
      <c r="AA373" s="609" t="str">
        <f t="shared" si="83"/>
        <v/>
      </c>
      <c r="AB373" s="609" t="str">
        <f t="shared" si="83"/>
        <v/>
      </c>
      <c r="AC373" s="609" t="str">
        <f t="shared" si="83"/>
        <v/>
      </c>
      <c r="AD373" s="609" t="str">
        <f t="shared" si="83"/>
        <v/>
      </c>
      <c r="AE373" s="609" t="str">
        <f t="shared" si="83"/>
        <v/>
      </c>
      <c r="AF373" s="609" t="str">
        <f t="shared" si="83"/>
        <v/>
      </c>
      <c r="AG373" s="609" t="str">
        <f t="shared" si="83"/>
        <v/>
      </c>
      <c r="AH373" s="609" t="str">
        <f t="shared" si="83"/>
        <v/>
      </c>
      <c r="AI373" s="609" t="str">
        <f t="shared" si="83"/>
        <v/>
      </c>
      <c r="AJ373" s="609" t="str">
        <f t="shared" si="83"/>
        <v/>
      </c>
      <c r="AK373" s="609" t="str">
        <f t="shared" si="83"/>
        <v/>
      </c>
      <c r="AL373" s="609" t="str">
        <f t="shared" si="83"/>
        <v/>
      </c>
      <c r="AM373" s="609" t="str">
        <f t="shared" si="82"/>
        <v/>
      </c>
      <c r="AN373" s="609" t="str">
        <f t="shared" si="82"/>
        <v/>
      </c>
      <c r="AO373" s="609" t="str">
        <f t="shared" si="82"/>
        <v/>
      </c>
      <c r="AP373" s="609" t="str">
        <f t="shared" si="82"/>
        <v/>
      </c>
      <c r="AQ373" s="609" t="str">
        <f t="shared" si="82"/>
        <v/>
      </c>
      <c r="AR373" s="609" t="str">
        <f t="shared" si="82"/>
        <v/>
      </c>
      <c r="AS373" s="609" t="str">
        <f t="shared" si="82"/>
        <v/>
      </c>
      <c r="AT373" s="609" t="str">
        <f t="shared" si="82"/>
        <v/>
      </c>
      <c r="AU373" s="609" t="str">
        <f t="shared" si="82"/>
        <v/>
      </c>
      <c r="AV373" s="609" t="str">
        <f t="shared" si="82"/>
        <v/>
      </c>
      <c r="AW373" s="609" t="str">
        <f t="shared" si="82"/>
        <v/>
      </c>
      <c r="AX373" s="609" t="str">
        <f t="shared" si="82"/>
        <v/>
      </c>
      <c r="AY373" s="609" t="str">
        <f t="shared" si="82"/>
        <v/>
      </c>
      <c r="AZ373" s="609" t="str">
        <f t="shared" si="82"/>
        <v/>
      </c>
      <c r="BA373" s="609" t="str">
        <f t="shared" si="82"/>
        <v/>
      </c>
      <c r="BB373" s="609" t="str">
        <f t="shared" si="82"/>
        <v/>
      </c>
      <c r="BC373" s="609" t="str">
        <f t="shared" si="81"/>
        <v/>
      </c>
      <c r="BD373" s="609" t="str">
        <f t="shared" si="81"/>
        <v/>
      </c>
      <c r="BE373" s="609" t="str">
        <f t="shared" si="81"/>
        <v/>
      </c>
      <c r="BF373" s="609" t="str">
        <f t="shared" si="81"/>
        <v/>
      </c>
      <c r="BG373" s="609" t="str">
        <f t="shared" si="81"/>
        <v/>
      </c>
    </row>
    <row r="374" spans="2:59" x14ac:dyDescent="0.25">
      <c r="B374" s="654">
        <v>368</v>
      </c>
      <c r="C374" s="654"/>
      <c r="D374" s="654"/>
      <c r="E374" s="655"/>
      <c r="F374" s="654"/>
      <c r="H374" s="609" t="str">
        <f t="shared" ref="H374:W389" si="84">IF($D374=H$6,$B374&amp;", ","")</f>
        <v/>
      </c>
      <c r="I374" s="609" t="str">
        <f t="shared" si="84"/>
        <v/>
      </c>
      <c r="J374" s="609" t="str">
        <f t="shared" si="84"/>
        <v/>
      </c>
      <c r="K374" s="609" t="str">
        <f t="shared" si="84"/>
        <v/>
      </c>
      <c r="L374" s="609" t="str">
        <f t="shared" si="84"/>
        <v/>
      </c>
      <c r="M374" s="609" t="str">
        <f t="shared" si="84"/>
        <v/>
      </c>
      <c r="N374" s="609" t="str">
        <f t="shared" si="84"/>
        <v/>
      </c>
      <c r="O374" s="609" t="str">
        <f t="shared" si="84"/>
        <v/>
      </c>
      <c r="P374" s="609" t="str">
        <f t="shared" si="84"/>
        <v/>
      </c>
      <c r="Q374" s="609" t="str">
        <f t="shared" si="84"/>
        <v/>
      </c>
      <c r="R374" s="609" t="str">
        <f t="shared" si="84"/>
        <v/>
      </c>
      <c r="S374" s="609" t="str">
        <f t="shared" si="84"/>
        <v/>
      </c>
      <c r="T374" s="609" t="str">
        <f t="shared" si="84"/>
        <v/>
      </c>
      <c r="U374" s="609" t="str">
        <f t="shared" si="84"/>
        <v/>
      </c>
      <c r="V374" s="609" t="str">
        <f t="shared" si="84"/>
        <v/>
      </c>
      <c r="W374" s="609" t="str">
        <f t="shared" si="84"/>
        <v/>
      </c>
      <c r="X374" s="609" t="str">
        <f t="shared" si="83"/>
        <v/>
      </c>
      <c r="Y374" s="609" t="str">
        <f t="shared" si="83"/>
        <v/>
      </c>
      <c r="Z374" s="609" t="str">
        <f t="shared" si="83"/>
        <v/>
      </c>
      <c r="AA374" s="609" t="str">
        <f t="shared" si="83"/>
        <v/>
      </c>
      <c r="AB374" s="609" t="str">
        <f t="shared" si="83"/>
        <v/>
      </c>
      <c r="AC374" s="609" t="str">
        <f t="shared" si="83"/>
        <v/>
      </c>
      <c r="AD374" s="609" t="str">
        <f t="shared" si="83"/>
        <v/>
      </c>
      <c r="AE374" s="609" t="str">
        <f t="shared" si="83"/>
        <v/>
      </c>
      <c r="AF374" s="609" t="str">
        <f t="shared" si="83"/>
        <v/>
      </c>
      <c r="AG374" s="609" t="str">
        <f t="shared" si="83"/>
        <v/>
      </c>
      <c r="AH374" s="609" t="str">
        <f t="shared" si="83"/>
        <v/>
      </c>
      <c r="AI374" s="609" t="str">
        <f t="shared" si="83"/>
        <v/>
      </c>
      <c r="AJ374" s="609" t="str">
        <f t="shared" si="83"/>
        <v/>
      </c>
      <c r="AK374" s="609" t="str">
        <f t="shared" si="83"/>
        <v/>
      </c>
      <c r="AL374" s="609" t="str">
        <f t="shared" si="83"/>
        <v/>
      </c>
      <c r="AM374" s="609" t="str">
        <f t="shared" si="82"/>
        <v/>
      </c>
      <c r="AN374" s="609" t="str">
        <f t="shared" si="82"/>
        <v/>
      </c>
      <c r="AO374" s="609" t="str">
        <f t="shared" si="82"/>
        <v/>
      </c>
      <c r="AP374" s="609" t="str">
        <f t="shared" si="82"/>
        <v/>
      </c>
      <c r="AQ374" s="609" t="str">
        <f t="shared" si="82"/>
        <v/>
      </c>
      <c r="AR374" s="609" t="str">
        <f t="shared" si="82"/>
        <v/>
      </c>
      <c r="AS374" s="609" t="str">
        <f t="shared" si="82"/>
        <v/>
      </c>
      <c r="AT374" s="609" t="str">
        <f t="shared" si="82"/>
        <v/>
      </c>
      <c r="AU374" s="609" t="str">
        <f t="shared" si="82"/>
        <v/>
      </c>
      <c r="AV374" s="609" t="str">
        <f t="shared" si="82"/>
        <v/>
      </c>
      <c r="AW374" s="609" t="str">
        <f t="shared" si="82"/>
        <v/>
      </c>
      <c r="AX374" s="609" t="str">
        <f t="shared" si="82"/>
        <v/>
      </c>
      <c r="AY374" s="609" t="str">
        <f t="shared" si="82"/>
        <v/>
      </c>
      <c r="AZ374" s="609" t="str">
        <f t="shared" si="82"/>
        <v/>
      </c>
      <c r="BA374" s="609" t="str">
        <f t="shared" si="82"/>
        <v/>
      </c>
      <c r="BB374" s="609" t="str">
        <f t="shared" si="82"/>
        <v/>
      </c>
      <c r="BC374" s="609" t="str">
        <f t="shared" si="81"/>
        <v/>
      </c>
      <c r="BD374" s="609" t="str">
        <f t="shared" si="81"/>
        <v/>
      </c>
      <c r="BE374" s="609" t="str">
        <f t="shared" si="81"/>
        <v/>
      </c>
      <c r="BF374" s="609" t="str">
        <f t="shared" si="81"/>
        <v/>
      </c>
      <c r="BG374" s="609" t="str">
        <f t="shared" si="81"/>
        <v/>
      </c>
    </row>
    <row r="375" spans="2:59" x14ac:dyDescent="0.25">
      <c r="B375" s="654">
        <v>369</v>
      </c>
      <c r="C375" s="654"/>
      <c r="D375" s="654"/>
      <c r="E375" s="655"/>
      <c r="F375" s="654"/>
      <c r="H375" s="609" t="str">
        <f t="shared" si="84"/>
        <v/>
      </c>
      <c r="I375" s="609" t="str">
        <f t="shared" si="84"/>
        <v/>
      </c>
      <c r="J375" s="609" t="str">
        <f t="shared" si="84"/>
        <v/>
      </c>
      <c r="K375" s="609" t="str">
        <f t="shared" si="84"/>
        <v/>
      </c>
      <c r="L375" s="609" t="str">
        <f t="shared" si="84"/>
        <v/>
      </c>
      <c r="M375" s="609" t="str">
        <f t="shared" si="84"/>
        <v/>
      </c>
      <c r="N375" s="609" t="str">
        <f t="shared" si="84"/>
        <v/>
      </c>
      <c r="O375" s="609" t="str">
        <f t="shared" si="84"/>
        <v/>
      </c>
      <c r="P375" s="609" t="str">
        <f t="shared" si="84"/>
        <v/>
      </c>
      <c r="Q375" s="609" t="str">
        <f t="shared" si="84"/>
        <v/>
      </c>
      <c r="R375" s="609" t="str">
        <f t="shared" si="84"/>
        <v/>
      </c>
      <c r="S375" s="609" t="str">
        <f t="shared" si="84"/>
        <v/>
      </c>
      <c r="T375" s="609" t="str">
        <f t="shared" si="84"/>
        <v/>
      </c>
      <c r="U375" s="609" t="str">
        <f t="shared" si="84"/>
        <v/>
      </c>
      <c r="V375" s="609" t="str">
        <f t="shared" si="84"/>
        <v/>
      </c>
      <c r="W375" s="609" t="str">
        <f t="shared" si="84"/>
        <v/>
      </c>
      <c r="X375" s="609" t="str">
        <f t="shared" si="83"/>
        <v/>
      </c>
      <c r="Y375" s="609" t="str">
        <f t="shared" si="83"/>
        <v/>
      </c>
      <c r="Z375" s="609" t="str">
        <f t="shared" si="83"/>
        <v/>
      </c>
      <c r="AA375" s="609" t="str">
        <f t="shared" si="83"/>
        <v/>
      </c>
      <c r="AB375" s="609" t="str">
        <f t="shared" si="83"/>
        <v/>
      </c>
      <c r="AC375" s="609" t="str">
        <f t="shared" si="83"/>
        <v/>
      </c>
      <c r="AD375" s="609" t="str">
        <f t="shared" si="83"/>
        <v/>
      </c>
      <c r="AE375" s="609" t="str">
        <f t="shared" si="83"/>
        <v/>
      </c>
      <c r="AF375" s="609" t="str">
        <f t="shared" si="83"/>
        <v/>
      </c>
      <c r="AG375" s="609" t="str">
        <f t="shared" si="83"/>
        <v/>
      </c>
      <c r="AH375" s="609" t="str">
        <f t="shared" si="83"/>
        <v/>
      </c>
      <c r="AI375" s="609" t="str">
        <f t="shared" si="83"/>
        <v/>
      </c>
      <c r="AJ375" s="609" t="str">
        <f t="shared" si="83"/>
        <v/>
      </c>
      <c r="AK375" s="609" t="str">
        <f t="shared" si="83"/>
        <v/>
      </c>
      <c r="AL375" s="609" t="str">
        <f t="shared" si="83"/>
        <v/>
      </c>
      <c r="AM375" s="609" t="str">
        <f t="shared" si="82"/>
        <v/>
      </c>
      <c r="AN375" s="609" t="str">
        <f t="shared" si="82"/>
        <v/>
      </c>
      <c r="AO375" s="609" t="str">
        <f t="shared" si="82"/>
        <v/>
      </c>
      <c r="AP375" s="609" t="str">
        <f t="shared" si="82"/>
        <v/>
      </c>
      <c r="AQ375" s="609" t="str">
        <f t="shared" si="82"/>
        <v/>
      </c>
      <c r="AR375" s="609" t="str">
        <f t="shared" si="82"/>
        <v/>
      </c>
      <c r="AS375" s="609" t="str">
        <f t="shared" si="82"/>
        <v/>
      </c>
      <c r="AT375" s="609" t="str">
        <f t="shared" si="82"/>
        <v/>
      </c>
      <c r="AU375" s="609" t="str">
        <f t="shared" si="82"/>
        <v/>
      </c>
      <c r="AV375" s="609" t="str">
        <f t="shared" si="82"/>
        <v/>
      </c>
      <c r="AW375" s="609" t="str">
        <f t="shared" si="82"/>
        <v/>
      </c>
      <c r="AX375" s="609" t="str">
        <f t="shared" si="82"/>
        <v/>
      </c>
      <c r="AY375" s="609" t="str">
        <f t="shared" si="82"/>
        <v/>
      </c>
      <c r="AZ375" s="609" t="str">
        <f t="shared" si="82"/>
        <v/>
      </c>
      <c r="BA375" s="609" t="str">
        <f t="shared" si="82"/>
        <v/>
      </c>
      <c r="BB375" s="609" t="str">
        <f t="shared" si="82"/>
        <v/>
      </c>
      <c r="BC375" s="609" t="str">
        <f t="shared" si="81"/>
        <v/>
      </c>
      <c r="BD375" s="609" t="str">
        <f t="shared" si="81"/>
        <v/>
      </c>
      <c r="BE375" s="609" t="str">
        <f t="shared" si="81"/>
        <v/>
      </c>
      <c r="BF375" s="609" t="str">
        <f t="shared" si="81"/>
        <v/>
      </c>
      <c r="BG375" s="609" t="str">
        <f t="shared" si="81"/>
        <v/>
      </c>
    </row>
    <row r="376" spans="2:59" x14ac:dyDescent="0.25">
      <c r="B376" s="654">
        <v>370</v>
      </c>
      <c r="C376" s="654"/>
      <c r="D376" s="654"/>
      <c r="E376" s="655"/>
      <c r="F376" s="654"/>
      <c r="H376" s="609" t="str">
        <f t="shared" si="84"/>
        <v/>
      </c>
      <c r="I376" s="609" t="str">
        <f t="shared" si="84"/>
        <v/>
      </c>
      <c r="J376" s="609" t="str">
        <f t="shared" si="84"/>
        <v/>
      </c>
      <c r="K376" s="609" t="str">
        <f t="shared" si="84"/>
        <v/>
      </c>
      <c r="L376" s="609" t="str">
        <f t="shared" si="84"/>
        <v/>
      </c>
      <c r="M376" s="609" t="str">
        <f t="shared" si="84"/>
        <v/>
      </c>
      <c r="N376" s="609" t="str">
        <f t="shared" si="84"/>
        <v/>
      </c>
      <c r="O376" s="609" t="str">
        <f t="shared" si="84"/>
        <v/>
      </c>
      <c r="P376" s="609" t="str">
        <f t="shared" si="84"/>
        <v/>
      </c>
      <c r="Q376" s="609" t="str">
        <f t="shared" si="84"/>
        <v/>
      </c>
      <c r="R376" s="609" t="str">
        <f t="shared" si="84"/>
        <v/>
      </c>
      <c r="S376" s="609" t="str">
        <f t="shared" si="84"/>
        <v/>
      </c>
      <c r="T376" s="609" t="str">
        <f t="shared" si="84"/>
        <v/>
      </c>
      <c r="U376" s="609" t="str">
        <f t="shared" si="84"/>
        <v/>
      </c>
      <c r="V376" s="609" t="str">
        <f t="shared" si="84"/>
        <v/>
      </c>
      <c r="W376" s="609" t="str">
        <f t="shared" si="84"/>
        <v/>
      </c>
      <c r="X376" s="609" t="str">
        <f t="shared" si="83"/>
        <v/>
      </c>
      <c r="Y376" s="609" t="str">
        <f t="shared" si="83"/>
        <v/>
      </c>
      <c r="Z376" s="609" t="str">
        <f t="shared" si="83"/>
        <v/>
      </c>
      <c r="AA376" s="609" t="str">
        <f t="shared" si="83"/>
        <v/>
      </c>
      <c r="AB376" s="609" t="str">
        <f t="shared" si="83"/>
        <v/>
      </c>
      <c r="AC376" s="609" t="str">
        <f t="shared" si="83"/>
        <v/>
      </c>
      <c r="AD376" s="609" t="str">
        <f t="shared" si="83"/>
        <v/>
      </c>
      <c r="AE376" s="609" t="str">
        <f t="shared" si="83"/>
        <v/>
      </c>
      <c r="AF376" s="609" t="str">
        <f t="shared" si="83"/>
        <v/>
      </c>
      <c r="AG376" s="609" t="str">
        <f t="shared" si="83"/>
        <v/>
      </c>
      <c r="AH376" s="609" t="str">
        <f t="shared" si="83"/>
        <v/>
      </c>
      <c r="AI376" s="609" t="str">
        <f t="shared" si="83"/>
        <v/>
      </c>
      <c r="AJ376" s="609" t="str">
        <f t="shared" si="83"/>
        <v/>
      </c>
      <c r="AK376" s="609" t="str">
        <f t="shared" si="83"/>
        <v/>
      </c>
      <c r="AL376" s="609" t="str">
        <f t="shared" si="83"/>
        <v/>
      </c>
      <c r="AM376" s="609" t="str">
        <f t="shared" si="82"/>
        <v/>
      </c>
      <c r="AN376" s="609" t="str">
        <f t="shared" si="82"/>
        <v/>
      </c>
      <c r="AO376" s="609" t="str">
        <f t="shared" si="82"/>
        <v/>
      </c>
      <c r="AP376" s="609" t="str">
        <f t="shared" si="82"/>
        <v/>
      </c>
      <c r="AQ376" s="609" t="str">
        <f t="shared" si="82"/>
        <v/>
      </c>
      <c r="AR376" s="609" t="str">
        <f t="shared" si="82"/>
        <v/>
      </c>
      <c r="AS376" s="609" t="str">
        <f t="shared" si="82"/>
        <v/>
      </c>
      <c r="AT376" s="609" t="str">
        <f t="shared" si="82"/>
        <v/>
      </c>
      <c r="AU376" s="609" t="str">
        <f t="shared" si="82"/>
        <v/>
      </c>
      <c r="AV376" s="609" t="str">
        <f t="shared" si="82"/>
        <v/>
      </c>
      <c r="AW376" s="609" t="str">
        <f t="shared" si="82"/>
        <v/>
      </c>
      <c r="AX376" s="609" t="str">
        <f t="shared" si="82"/>
        <v/>
      </c>
      <c r="AY376" s="609" t="str">
        <f t="shared" si="82"/>
        <v/>
      </c>
      <c r="AZ376" s="609" t="str">
        <f t="shared" si="82"/>
        <v/>
      </c>
      <c r="BA376" s="609" t="str">
        <f t="shared" si="82"/>
        <v/>
      </c>
      <c r="BB376" s="609" t="str">
        <f t="shared" si="82"/>
        <v/>
      </c>
      <c r="BC376" s="609" t="str">
        <f t="shared" si="81"/>
        <v/>
      </c>
      <c r="BD376" s="609" t="str">
        <f t="shared" si="81"/>
        <v/>
      </c>
      <c r="BE376" s="609" t="str">
        <f t="shared" si="81"/>
        <v/>
      </c>
      <c r="BF376" s="609" t="str">
        <f t="shared" si="81"/>
        <v/>
      </c>
      <c r="BG376" s="609" t="str">
        <f t="shared" si="81"/>
        <v/>
      </c>
    </row>
    <row r="377" spans="2:59" x14ac:dyDescent="0.25">
      <c r="B377" s="654">
        <v>371</v>
      </c>
      <c r="C377" s="654"/>
      <c r="D377" s="654"/>
      <c r="E377" s="655"/>
      <c r="F377" s="654"/>
      <c r="H377" s="609" t="str">
        <f t="shared" si="84"/>
        <v/>
      </c>
      <c r="I377" s="609" t="str">
        <f t="shared" si="84"/>
        <v/>
      </c>
      <c r="J377" s="609" t="str">
        <f t="shared" si="84"/>
        <v/>
      </c>
      <c r="K377" s="609" t="str">
        <f t="shared" si="84"/>
        <v/>
      </c>
      <c r="L377" s="609" t="str">
        <f t="shared" si="84"/>
        <v/>
      </c>
      <c r="M377" s="609" t="str">
        <f t="shared" si="84"/>
        <v/>
      </c>
      <c r="N377" s="609" t="str">
        <f t="shared" si="84"/>
        <v/>
      </c>
      <c r="O377" s="609" t="str">
        <f t="shared" si="84"/>
        <v/>
      </c>
      <c r="P377" s="609" t="str">
        <f t="shared" si="84"/>
        <v/>
      </c>
      <c r="Q377" s="609" t="str">
        <f t="shared" si="84"/>
        <v/>
      </c>
      <c r="R377" s="609" t="str">
        <f t="shared" si="84"/>
        <v/>
      </c>
      <c r="S377" s="609" t="str">
        <f t="shared" si="84"/>
        <v/>
      </c>
      <c r="T377" s="609" t="str">
        <f t="shared" si="84"/>
        <v/>
      </c>
      <c r="U377" s="609" t="str">
        <f t="shared" si="84"/>
        <v/>
      </c>
      <c r="V377" s="609" t="str">
        <f t="shared" si="84"/>
        <v/>
      </c>
      <c r="W377" s="609" t="str">
        <f t="shared" si="84"/>
        <v/>
      </c>
      <c r="X377" s="609" t="str">
        <f t="shared" si="83"/>
        <v/>
      </c>
      <c r="Y377" s="609" t="str">
        <f t="shared" si="83"/>
        <v/>
      </c>
      <c r="Z377" s="609" t="str">
        <f t="shared" si="83"/>
        <v/>
      </c>
      <c r="AA377" s="609" t="str">
        <f t="shared" si="83"/>
        <v/>
      </c>
      <c r="AB377" s="609" t="str">
        <f t="shared" si="83"/>
        <v/>
      </c>
      <c r="AC377" s="609" t="str">
        <f t="shared" si="83"/>
        <v/>
      </c>
      <c r="AD377" s="609" t="str">
        <f t="shared" si="83"/>
        <v/>
      </c>
      <c r="AE377" s="609" t="str">
        <f t="shared" si="83"/>
        <v/>
      </c>
      <c r="AF377" s="609" t="str">
        <f t="shared" si="83"/>
        <v/>
      </c>
      <c r="AG377" s="609" t="str">
        <f t="shared" si="83"/>
        <v/>
      </c>
      <c r="AH377" s="609" t="str">
        <f t="shared" si="83"/>
        <v/>
      </c>
      <c r="AI377" s="609" t="str">
        <f t="shared" si="83"/>
        <v/>
      </c>
      <c r="AJ377" s="609" t="str">
        <f t="shared" si="83"/>
        <v/>
      </c>
      <c r="AK377" s="609" t="str">
        <f t="shared" si="83"/>
        <v/>
      </c>
      <c r="AL377" s="609" t="str">
        <f t="shared" si="83"/>
        <v/>
      </c>
      <c r="AM377" s="609" t="str">
        <f t="shared" si="82"/>
        <v/>
      </c>
      <c r="AN377" s="609" t="str">
        <f t="shared" si="82"/>
        <v/>
      </c>
      <c r="AO377" s="609" t="str">
        <f t="shared" si="82"/>
        <v/>
      </c>
      <c r="AP377" s="609" t="str">
        <f t="shared" si="82"/>
        <v/>
      </c>
      <c r="AQ377" s="609" t="str">
        <f t="shared" si="82"/>
        <v/>
      </c>
      <c r="AR377" s="609" t="str">
        <f t="shared" si="82"/>
        <v/>
      </c>
      <c r="AS377" s="609" t="str">
        <f t="shared" si="82"/>
        <v/>
      </c>
      <c r="AT377" s="609" t="str">
        <f t="shared" si="82"/>
        <v/>
      </c>
      <c r="AU377" s="609" t="str">
        <f t="shared" si="82"/>
        <v/>
      </c>
      <c r="AV377" s="609" t="str">
        <f t="shared" si="82"/>
        <v/>
      </c>
      <c r="AW377" s="609" t="str">
        <f t="shared" si="82"/>
        <v/>
      </c>
      <c r="AX377" s="609" t="str">
        <f t="shared" si="82"/>
        <v/>
      </c>
      <c r="AY377" s="609" t="str">
        <f t="shared" si="82"/>
        <v/>
      </c>
      <c r="AZ377" s="609" t="str">
        <f t="shared" si="82"/>
        <v/>
      </c>
      <c r="BA377" s="609" t="str">
        <f t="shared" si="82"/>
        <v/>
      </c>
      <c r="BB377" s="609" t="str">
        <f t="shared" si="82"/>
        <v/>
      </c>
      <c r="BC377" s="609" t="str">
        <f t="shared" si="81"/>
        <v/>
      </c>
      <c r="BD377" s="609" t="str">
        <f t="shared" si="81"/>
        <v/>
      </c>
      <c r="BE377" s="609" t="str">
        <f t="shared" si="81"/>
        <v/>
      </c>
      <c r="BF377" s="609" t="str">
        <f t="shared" si="81"/>
        <v/>
      </c>
      <c r="BG377" s="609" t="str">
        <f t="shared" si="81"/>
        <v/>
      </c>
    </row>
    <row r="378" spans="2:59" x14ac:dyDescent="0.25">
      <c r="B378" s="654">
        <v>372</v>
      </c>
      <c r="C378" s="654"/>
      <c r="D378" s="654"/>
      <c r="E378" s="655"/>
      <c r="F378" s="654"/>
      <c r="H378" s="609" t="str">
        <f t="shared" si="84"/>
        <v/>
      </c>
      <c r="I378" s="609" t="str">
        <f t="shared" si="84"/>
        <v/>
      </c>
      <c r="J378" s="609" t="str">
        <f t="shared" si="84"/>
        <v/>
      </c>
      <c r="K378" s="609" t="str">
        <f t="shared" si="84"/>
        <v/>
      </c>
      <c r="L378" s="609" t="str">
        <f t="shared" si="84"/>
        <v/>
      </c>
      <c r="M378" s="609" t="str">
        <f t="shared" si="84"/>
        <v/>
      </c>
      <c r="N378" s="609" t="str">
        <f t="shared" si="84"/>
        <v/>
      </c>
      <c r="O378" s="609" t="str">
        <f t="shared" si="84"/>
        <v/>
      </c>
      <c r="P378" s="609" t="str">
        <f t="shared" si="84"/>
        <v/>
      </c>
      <c r="Q378" s="609" t="str">
        <f t="shared" si="84"/>
        <v/>
      </c>
      <c r="R378" s="609" t="str">
        <f t="shared" si="84"/>
        <v/>
      </c>
      <c r="S378" s="609" t="str">
        <f t="shared" si="84"/>
        <v/>
      </c>
      <c r="T378" s="609" t="str">
        <f t="shared" si="84"/>
        <v/>
      </c>
      <c r="U378" s="609" t="str">
        <f t="shared" si="84"/>
        <v/>
      </c>
      <c r="V378" s="609" t="str">
        <f t="shared" si="84"/>
        <v/>
      </c>
      <c r="W378" s="609" t="str">
        <f t="shared" si="84"/>
        <v/>
      </c>
      <c r="X378" s="609" t="str">
        <f t="shared" si="83"/>
        <v/>
      </c>
      <c r="Y378" s="609" t="str">
        <f t="shared" si="83"/>
        <v/>
      </c>
      <c r="Z378" s="609" t="str">
        <f t="shared" si="83"/>
        <v/>
      </c>
      <c r="AA378" s="609" t="str">
        <f t="shared" si="83"/>
        <v/>
      </c>
      <c r="AB378" s="609" t="str">
        <f t="shared" si="83"/>
        <v/>
      </c>
      <c r="AC378" s="609" t="str">
        <f t="shared" si="83"/>
        <v/>
      </c>
      <c r="AD378" s="609" t="str">
        <f t="shared" si="83"/>
        <v/>
      </c>
      <c r="AE378" s="609" t="str">
        <f t="shared" si="83"/>
        <v/>
      </c>
      <c r="AF378" s="609" t="str">
        <f t="shared" si="83"/>
        <v/>
      </c>
      <c r="AG378" s="609" t="str">
        <f t="shared" si="83"/>
        <v/>
      </c>
      <c r="AH378" s="609" t="str">
        <f t="shared" si="83"/>
        <v/>
      </c>
      <c r="AI378" s="609" t="str">
        <f t="shared" si="83"/>
        <v/>
      </c>
      <c r="AJ378" s="609" t="str">
        <f t="shared" si="83"/>
        <v/>
      </c>
      <c r="AK378" s="609" t="str">
        <f t="shared" si="83"/>
        <v/>
      </c>
      <c r="AL378" s="609" t="str">
        <f t="shared" si="83"/>
        <v/>
      </c>
      <c r="AM378" s="609" t="str">
        <f t="shared" si="82"/>
        <v/>
      </c>
      <c r="AN378" s="609" t="str">
        <f t="shared" si="82"/>
        <v/>
      </c>
      <c r="AO378" s="609" t="str">
        <f t="shared" si="82"/>
        <v/>
      </c>
      <c r="AP378" s="609" t="str">
        <f t="shared" si="82"/>
        <v/>
      </c>
      <c r="AQ378" s="609" t="str">
        <f t="shared" si="82"/>
        <v/>
      </c>
      <c r="AR378" s="609" t="str">
        <f t="shared" si="82"/>
        <v/>
      </c>
      <c r="AS378" s="609" t="str">
        <f t="shared" si="82"/>
        <v/>
      </c>
      <c r="AT378" s="609" t="str">
        <f t="shared" si="82"/>
        <v/>
      </c>
      <c r="AU378" s="609" t="str">
        <f t="shared" si="82"/>
        <v/>
      </c>
      <c r="AV378" s="609" t="str">
        <f t="shared" si="82"/>
        <v/>
      </c>
      <c r="AW378" s="609" t="str">
        <f t="shared" si="82"/>
        <v/>
      </c>
      <c r="AX378" s="609" t="str">
        <f t="shared" si="82"/>
        <v/>
      </c>
      <c r="AY378" s="609" t="str">
        <f t="shared" si="82"/>
        <v/>
      </c>
      <c r="AZ378" s="609" t="str">
        <f t="shared" si="82"/>
        <v/>
      </c>
      <c r="BA378" s="609" t="str">
        <f t="shared" si="82"/>
        <v/>
      </c>
      <c r="BB378" s="609" t="str">
        <f t="shared" ref="BB378:BG393" si="85">IF($D378=BB$6,$B378&amp;", ","")</f>
        <v/>
      </c>
      <c r="BC378" s="609" t="str">
        <f t="shared" si="85"/>
        <v/>
      </c>
      <c r="BD378" s="609" t="str">
        <f t="shared" si="85"/>
        <v/>
      </c>
      <c r="BE378" s="609" t="str">
        <f t="shared" si="85"/>
        <v/>
      </c>
      <c r="BF378" s="609" t="str">
        <f t="shared" si="85"/>
        <v/>
      </c>
      <c r="BG378" s="609" t="str">
        <f t="shared" si="85"/>
        <v/>
      </c>
    </row>
    <row r="379" spans="2:59" x14ac:dyDescent="0.25">
      <c r="B379" s="654">
        <v>373</v>
      </c>
      <c r="C379" s="654"/>
      <c r="D379" s="654"/>
      <c r="E379" s="655"/>
      <c r="F379" s="654"/>
      <c r="H379" s="609" t="str">
        <f t="shared" si="84"/>
        <v/>
      </c>
      <c r="I379" s="609" t="str">
        <f t="shared" si="84"/>
        <v/>
      </c>
      <c r="J379" s="609" t="str">
        <f t="shared" si="84"/>
        <v/>
      </c>
      <c r="K379" s="609" t="str">
        <f t="shared" si="84"/>
        <v/>
      </c>
      <c r="L379" s="609" t="str">
        <f t="shared" si="84"/>
        <v/>
      </c>
      <c r="M379" s="609" t="str">
        <f t="shared" si="84"/>
        <v/>
      </c>
      <c r="N379" s="609" t="str">
        <f t="shared" si="84"/>
        <v/>
      </c>
      <c r="O379" s="609" t="str">
        <f t="shared" si="84"/>
        <v/>
      </c>
      <c r="P379" s="609" t="str">
        <f t="shared" si="84"/>
        <v/>
      </c>
      <c r="Q379" s="609" t="str">
        <f t="shared" si="84"/>
        <v/>
      </c>
      <c r="R379" s="609" t="str">
        <f t="shared" si="84"/>
        <v/>
      </c>
      <c r="S379" s="609" t="str">
        <f t="shared" si="84"/>
        <v/>
      </c>
      <c r="T379" s="609" t="str">
        <f t="shared" si="84"/>
        <v/>
      </c>
      <c r="U379" s="609" t="str">
        <f t="shared" si="84"/>
        <v/>
      </c>
      <c r="V379" s="609" t="str">
        <f t="shared" si="84"/>
        <v/>
      </c>
      <c r="W379" s="609" t="str">
        <f t="shared" si="84"/>
        <v/>
      </c>
      <c r="X379" s="609" t="str">
        <f t="shared" si="83"/>
        <v/>
      </c>
      <c r="Y379" s="609" t="str">
        <f t="shared" si="83"/>
        <v/>
      </c>
      <c r="Z379" s="609" t="str">
        <f t="shared" si="83"/>
        <v/>
      </c>
      <c r="AA379" s="609" t="str">
        <f t="shared" si="83"/>
        <v/>
      </c>
      <c r="AB379" s="609" t="str">
        <f t="shared" si="83"/>
        <v/>
      </c>
      <c r="AC379" s="609" t="str">
        <f t="shared" si="83"/>
        <v/>
      </c>
      <c r="AD379" s="609" t="str">
        <f t="shared" si="83"/>
        <v/>
      </c>
      <c r="AE379" s="609" t="str">
        <f t="shared" si="83"/>
        <v/>
      </c>
      <c r="AF379" s="609" t="str">
        <f t="shared" si="83"/>
        <v/>
      </c>
      <c r="AG379" s="609" t="str">
        <f t="shared" si="83"/>
        <v/>
      </c>
      <c r="AH379" s="609" t="str">
        <f t="shared" si="83"/>
        <v/>
      </c>
      <c r="AI379" s="609" t="str">
        <f t="shared" si="83"/>
        <v/>
      </c>
      <c r="AJ379" s="609" t="str">
        <f t="shared" si="83"/>
        <v/>
      </c>
      <c r="AK379" s="609" t="str">
        <f t="shared" si="83"/>
        <v/>
      </c>
      <c r="AL379" s="609" t="str">
        <f t="shared" si="83"/>
        <v/>
      </c>
      <c r="AM379" s="609" t="str">
        <f t="shared" ref="AM379:BB394" si="86">IF($D379=AM$6,$B379&amp;", ","")</f>
        <v/>
      </c>
      <c r="AN379" s="609" t="str">
        <f t="shared" si="86"/>
        <v/>
      </c>
      <c r="AO379" s="609" t="str">
        <f t="shared" si="86"/>
        <v/>
      </c>
      <c r="AP379" s="609" t="str">
        <f t="shared" si="86"/>
        <v/>
      </c>
      <c r="AQ379" s="609" t="str">
        <f t="shared" si="86"/>
        <v/>
      </c>
      <c r="AR379" s="609" t="str">
        <f t="shared" si="86"/>
        <v/>
      </c>
      <c r="AS379" s="609" t="str">
        <f t="shared" si="86"/>
        <v/>
      </c>
      <c r="AT379" s="609" t="str">
        <f t="shared" si="86"/>
        <v/>
      </c>
      <c r="AU379" s="609" t="str">
        <f t="shared" si="86"/>
        <v/>
      </c>
      <c r="AV379" s="609" t="str">
        <f t="shared" si="86"/>
        <v/>
      </c>
      <c r="AW379" s="609" t="str">
        <f t="shared" si="86"/>
        <v/>
      </c>
      <c r="AX379" s="609" t="str">
        <f t="shared" si="86"/>
        <v/>
      </c>
      <c r="AY379" s="609" t="str">
        <f t="shared" si="86"/>
        <v/>
      </c>
      <c r="AZ379" s="609" t="str">
        <f t="shared" si="86"/>
        <v/>
      </c>
      <c r="BA379" s="609" t="str">
        <f t="shared" si="86"/>
        <v/>
      </c>
      <c r="BB379" s="609" t="str">
        <f t="shared" si="86"/>
        <v/>
      </c>
      <c r="BC379" s="609" t="str">
        <f t="shared" si="85"/>
        <v/>
      </c>
      <c r="BD379" s="609" t="str">
        <f t="shared" si="85"/>
        <v/>
      </c>
      <c r="BE379" s="609" t="str">
        <f t="shared" si="85"/>
        <v/>
      </c>
      <c r="BF379" s="609" t="str">
        <f t="shared" si="85"/>
        <v/>
      </c>
      <c r="BG379" s="609" t="str">
        <f t="shared" si="85"/>
        <v/>
      </c>
    </row>
    <row r="380" spans="2:59" x14ac:dyDescent="0.25">
      <c r="B380" s="654">
        <v>374</v>
      </c>
      <c r="C380" s="654"/>
      <c r="D380" s="654"/>
      <c r="E380" s="655"/>
      <c r="F380" s="654"/>
      <c r="H380" s="609" t="str">
        <f t="shared" si="84"/>
        <v/>
      </c>
      <c r="I380" s="609" t="str">
        <f t="shared" si="84"/>
        <v/>
      </c>
      <c r="J380" s="609" t="str">
        <f t="shared" si="84"/>
        <v/>
      </c>
      <c r="K380" s="609" t="str">
        <f t="shared" si="84"/>
        <v/>
      </c>
      <c r="L380" s="609" t="str">
        <f t="shared" si="84"/>
        <v/>
      </c>
      <c r="M380" s="609" t="str">
        <f t="shared" si="84"/>
        <v/>
      </c>
      <c r="N380" s="609" t="str">
        <f t="shared" si="84"/>
        <v/>
      </c>
      <c r="O380" s="609" t="str">
        <f t="shared" si="84"/>
        <v/>
      </c>
      <c r="P380" s="609" t="str">
        <f t="shared" si="84"/>
        <v/>
      </c>
      <c r="Q380" s="609" t="str">
        <f t="shared" si="84"/>
        <v/>
      </c>
      <c r="R380" s="609" t="str">
        <f t="shared" si="84"/>
        <v/>
      </c>
      <c r="S380" s="609" t="str">
        <f t="shared" si="84"/>
        <v/>
      </c>
      <c r="T380" s="609" t="str">
        <f t="shared" si="84"/>
        <v/>
      </c>
      <c r="U380" s="609" t="str">
        <f t="shared" si="84"/>
        <v/>
      </c>
      <c r="V380" s="609" t="str">
        <f t="shared" si="84"/>
        <v/>
      </c>
      <c r="W380" s="609" t="str">
        <f t="shared" si="84"/>
        <v/>
      </c>
      <c r="X380" s="609" t="str">
        <f t="shared" si="83"/>
        <v/>
      </c>
      <c r="Y380" s="609" t="str">
        <f t="shared" si="83"/>
        <v/>
      </c>
      <c r="Z380" s="609" t="str">
        <f t="shared" si="83"/>
        <v/>
      </c>
      <c r="AA380" s="609" t="str">
        <f t="shared" si="83"/>
        <v/>
      </c>
      <c r="AB380" s="609" t="str">
        <f t="shared" si="83"/>
        <v/>
      </c>
      <c r="AC380" s="609" t="str">
        <f t="shared" si="83"/>
        <v/>
      </c>
      <c r="AD380" s="609" t="str">
        <f t="shared" si="83"/>
        <v/>
      </c>
      <c r="AE380" s="609" t="str">
        <f t="shared" si="83"/>
        <v/>
      </c>
      <c r="AF380" s="609" t="str">
        <f t="shared" si="83"/>
        <v/>
      </c>
      <c r="AG380" s="609" t="str">
        <f t="shared" si="83"/>
        <v/>
      </c>
      <c r="AH380" s="609" t="str">
        <f t="shared" si="83"/>
        <v/>
      </c>
      <c r="AI380" s="609" t="str">
        <f t="shared" si="83"/>
        <v/>
      </c>
      <c r="AJ380" s="609" t="str">
        <f t="shared" si="83"/>
        <v/>
      </c>
      <c r="AK380" s="609" t="str">
        <f t="shared" si="83"/>
        <v/>
      </c>
      <c r="AL380" s="609" t="str">
        <f t="shared" si="83"/>
        <v/>
      </c>
      <c r="AM380" s="609" t="str">
        <f t="shared" si="86"/>
        <v/>
      </c>
      <c r="AN380" s="609" t="str">
        <f t="shared" si="86"/>
        <v/>
      </c>
      <c r="AO380" s="609" t="str">
        <f t="shared" si="86"/>
        <v/>
      </c>
      <c r="AP380" s="609" t="str">
        <f t="shared" si="86"/>
        <v/>
      </c>
      <c r="AQ380" s="609" t="str">
        <f t="shared" si="86"/>
        <v/>
      </c>
      <c r="AR380" s="609" t="str">
        <f t="shared" si="86"/>
        <v/>
      </c>
      <c r="AS380" s="609" t="str">
        <f t="shared" si="86"/>
        <v/>
      </c>
      <c r="AT380" s="609" t="str">
        <f t="shared" si="86"/>
        <v/>
      </c>
      <c r="AU380" s="609" t="str">
        <f t="shared" si="86"/>
        <v/>
      </c>
      <c r="AV380" s="609" t="str">
        <f t="shared" si="86"/>
        <v/>
      </c>
      <c r="AW380" s="609" t="str">
        <f t="shared" si="86"/>
        <v/>
      </c>
      <c r="AX380" s="609" t="str">
        <f t="shared" si="86"/>
        <v/>
      </c>
      <c r="AY380" s="609" t="str">
        <f t="shared" si="86"/>
        <v/>
      </c>
      <c r="AZ380" s="609" t="str">
        <f t="shared" si="86"/>
        <v/>
      </c>
      <c r="BA380" s="609" t="str">
        <f t="shared" si="86"/>
        <v/>
      </c>
      <c r="BB380" s="609" t="str">
        <f t="shared" si="86"/>
        <v/>
      </c>
      <c r="BC380" s="609" t="str">
        <f t="shared" si="85"/>
        <v/>
      </c>
      <c r="BD380" s="609" t="str">
        <f t="shared" si="85"/>
        <v/>
      </c>
      <c r="BE380" s="609" t="str">
        <f t="shared" si="85"/>
        <v/>
      </c>
      <c r="BF380" s="609" t="str">
        <f t="shared" si="85"/>
        <v/>
      </c>
      <c r="BG380" s="609" t="str">
        <f t="shared" si="85"/>
        <v/>
      </c>
    </row>
    <row r="381" spans="2:59" x14ac:dyDescent="0.25">
      <c r="B381" s="654">
        <v>375</v>
      </c>
      <c r="C381" s="654"/>
      <c r="D381" s="654"/>
      <c r="E381" s="655"/>
      <c r="F381" s="654"/>
      <c r="H381" s="609" t="str">
        <f t="shared" si="84"/>
        <v/>
      </c>
      <c r="I381" s="609" t="str">
        <f t="shared" si="84"/>
        <v/>
      </c>
      <c r="J381" s="609" t="str">
        <f t="shared" si="84"/>
        <v/>
      </c>
      <c r="K381" s="609" t="str">
        <f t="shared" si="84"/>
        <v/>
      </c>
      <c r="L381" s="609" t="str">
        <f t="shared" si="84"/>
        <v/>
      </c>
      <c r="M381" s="609" t="str">
        <f t="shared" si="84"/>
        <v/>
      </c>
      <c r="N381" s="609" t="str">
        <f t="shared" si="84"/>
        <v/>
      </c>
      <c r="O381" s="609" t="str">
        <f t="shared" si="84"/>
        <v/>
      </c>
      <c r="P381" s="609" t="str">
        <f t="shared" si="84"/>
        <v/>
      </c>
      <c r="Q381" s="609" t="str">
        <f t="shared" si="84"/>
        <v/>
      </c>
      <c r="R381" s="609" t="str">
        <f t="shared" si="84"/>
        <v/>
      </c>
      <c r="S381" s="609" t="str">
        <f t="shared" si="84"/>
        <v/>
      </c>
      <c r="T381" s="609" t="str">
        <f t="shared" si="84"/>
        <v/>
      </c>
      <c r="U381" s="609" t="str">
        <f t="shared" si="84"/>
        <v/>
      </c>
      <c r="V381" s="609" t="str">
        <f t="shared" si="84"/>
        <v/>
      </c>
      <c r="W381" s="609" t="str">
        <f t="shared" si="84"/>
        <v/>
      </c>
      <c r="X381" s="609" t="str">
        <f t="shared" si="83"/>
        <v/>
      </c>
      <c r="Y381" s="609" t="str">
        <f t="shared" si="83"/>
        <v/>
      </c>
      <c r="Z381" s="609" t="str">
        <f t="shared" si="83"/>
        <v/>
      </c>
      <c r="AA381" s="609" t="str">
        <f t="shared" si="83"/>
        <v/>
      </c>
      <c r="AB381" s="609" t="str">
        <f t="shared" si="83"/>
        <v/>
      </c>
      <c r="AC381" s="609" t="str">
        <f t="shared" si="83"/>
        <v/>
      </c>
      <c r="AD381" s="609" t="str">
        <f t="shared" si="83"/>
        <v/>
      </c>
      <c r="AE381" s="609" t="str">
        <f t="shared" si="83"/>
        <v/>
      </c>
      <c r="AF381" s="609" t="str">
        <f t="shared" si="83"/>
        <v/>
      </c>
      <c r="AG381" s="609" t="str">
        <f t="shared" si="83"/>
        <v/>
      </c>
      <c r="AH381" s="609" t="str">
        <f t="shared" si="83"/>
        <v/>
      </c>
      <c r="AI381" s="609" t="str">
        <f t="shared" si="83"/>
        <v/>
      </c>
      <c r="AJ381" s="609" t="str">
        <f t="shared" si="83"/>
        <v/>
      </c>
      <c r="AK381" s="609" t="str">
        <f t="shared" si="83"/>
        <v/>
      </c>
      <c r="AL381" s="609" t="str">
        <f t="shared" si="83"/>
        <v/>
      </c>
      <c r="AM381" s="609" t="str">
        <f t="shared" si="86"/>
        <v/>
      </c>
      <c r="AN381" s="609" t="str">
        <f t="shared" si="86"/>
        <v/>
      </c>
      <c r="AO381" s="609" t="str">
        <f t="shared" si="86"/>
        <v/>
      </c>
      <c r="AP381" s="609" t="str">
        <f t="shared" si="86"/>
        <v/>
      </c>
      <c r="AQ381" s="609" t="str">
        <f t="shared" si="86"/>
        <v/>
      </c>
      <c r="AR381" s="609" t="str">
        <f t="shared" si="86"/>
        <v/>
      </c>
      <c r="AS381" s="609" t="str">
        <f t="shared" si="86"/>
        <v/>
      </c>
      <c r="AT381" s="609" t="str">
        <f t="shared" si="86"/>
        <v/>
      </c>
      <c r="AU381" s="609" t="str">
        <f t="shared" si="86"/>
        <v/>
      </c>
      <c r="AV381" s="609" t="str">
        <f t="shared" si="86"/>
        <v/>
      </c>
      <c r="AW381" s="609" t="str">
        <f t="shared" si="86"/>
        <v/>
      </c>
      <c r="AX381" s="609" t="str">
        <f t="shared" si="86"/>
        <v/>
      </c>
      <c r="AY381" s="609" t="str">
        <f t="shared" si="86"/>
        <v/>
      </c>
      <c r="AZ381" s="609" t="str">
        <f t="shared" si="86"/>
        <v/>
      </c>
      <c r="BA381" s="609" t="str">
        <f t="shared" si="86"/>
        <v/>
      </c>
      <c r="BB381" s="609" t="str">
        <f t="shared" si="86"/>
        <v/>
      </c>
      <c r="BC381" s="609" t="str">
        <f t="shared" si="85"/>
        <v/>
      </c>
      <c r="BD381" s="609" t="str">
        <f t="shared" si="85"/>
        <v/>
      </c>
      <c r="BE381" s="609" t="str">
        <f t="shared" si="85"/>
        <v/>
      </c>
      <c r="BF381" s="609" t="str">
        <f t="shared" si="85"/>
        <v/>
      </c>
      <c r="BG381" s="609" t="str">
        <f t="shared" si="85"/>
        <v/>
      </c>
    </row>
    <row r="382" spans="2:59" x14ac:dyDescent="0.25">
      <c r="B382" s="654">
        <v>376</v>
      </c>
      <c r="C382" s="654"/>
      <c r="D382" s="654"/>
      <c r="E382" s="655"/>
      <c r="F382" s="654"/>
      <c r="H382" s="609" t="str">
        <f t="shared" si="84"/>
        <v/>
      </c>
      <c r="I382" s="609" t="str">
        <f t="shared" si="84"/>
        <v/>
      </c>
      <c r="J382" s="609" t="str">
        <f t="shared" si="84"/>
        <v/>
      </c>
      <c r="K382" s="609" t="str">
        <f t="shared" si="84"/>
        <v/>
      </c>
      <c r="L382" s="609" t="str">
        <f t="shared" si="84"/>
        <v/>
      </c>
      <c r="M382" s="609" t="str">
        <f t="shared" si="84"/>
        <v/>
      </c>
      <c r="N382" s="609" t="str">
        <f t="shared" si="84"/>
        <v/>
      </c>
      <c r="O382" s="609" t="str">
        <f t="shared" si="84"/>
        <v/>
      </c>
      <c r="P382" s="609" t="str">
        <f t="shared" si="84"/>
        <v/>
      </c>
      <c r="Q382" s="609" t="str">
        <f t="shared" si="84"/>
        <v/>
      </c>
      <c r="R382" s="609" t="str">
        <f t="shared" si="84"/>
        <v/>
      </c>
      <c r="S382" s="609" t="str">
        <f t="shared" si="84"/>
        <v/>
      </c>
      <c r="T382" s="609" t="str">
        <f t="shared" si="84"/>
        <v/>
      </c>
      <c r="U382" s="609" t="str">
        <f t="shared" si="84"/>
        <v/>
      </c>
      <c r="V382" s="609" t="str">
        <f t="shared" si="84"/>
        <v/>
      </c>
      <c r="W382" s="609" t="str">
        <f t="shared" si="84"/>
        <v/>
      </c>
      <c r="X382" s="609" t="str">
        <f t="shared" si="83"/>
        <v/>
      </c>
      <c r="Y382" s="609" t="str">
        <f t="shared" si="83"/>
        <v/>
      </c>
      <c r="Z382" s="609" t="str">
        <f t="shared" si="83"/>
        <v/>
      </c>
      <c r="AA382" s="609" t="str">
        <f t="shared" si="83"/>
        <v/>
      </c>
      <c r="AB382" s="609" t="str">
        <f t="shared" si="83"/>
        <v/>
      </c>
      <c r="AC382" s="609" t="str">
        <f t="shared" si="83"/>
        <v/>
      </c>
      <c r="AD382" s="609" t="str">
        <f t="shared" si="83"/>
        <v/>
      </c>
      <c r="AE382" s="609" t="str">
        <f t="shared" si="83"/>
        <v/>
      </c>
      <c r="AF382" s="609" t="str">
        <f t="shared" si="83"/>
        <v/>
      </c>
      <c r="AG382" s="609" t="str">
        <f t="shared" si="83"/>
        <v/>
      </c>
      <c r="AH382" s="609" t="str">
        <f t="shared" si="83"/>
        <v/>
      </c>
      <c r="AI382" s="609" t="str">
        <f t="shared" si="83"/>
        <v/>
      </c>
      <c r="AJ382" s="609" t="str">
        <f t="shared" si="83"/>
        <v/>
      </c>
      <c r="AK382" s="609" t="str">
        <f t="shared" si="83"/>
        <v/>
      </c>
      <c r="AL382" s="609" t="str">
        <f t="shared" si="83"/>
        <v/>
      </c>
      <c r="AM382" s="609" t="str">
        <f t="shared" si="86"/>
        <v/>
      </c>
      <c r="AN382" s="609" t="str">
        <f t="shared" si="86"/>
        <v/>
      </c>
      <c r="AO382" s="609" t="str">
        <f t="shared" si="86"/>
        <v/>
      </c>
      <c r="AP382" s="609" t="str">
        <f t="shared" si="86"/>
        <v/>
      </c>
      <c r="AQ382" s="609" t="str">
        <f t="shared" si="86"/>
        <v/>
      </c>
      <c r="AR382" s="609" t="str">
        <f t="shared" si="86"/>
        <v/>
      </c>
      <c r="AS382" s="609" t="str">
        <f t="shared" si="86"/>
        <v/>
      </c>
      <c r="AT382" s="609" t="str">
        <f t="shared" si="86"/>
        <v/>
      </c>
      <c r="AU382" s="609" t="str">
        <f t="shared" si="86"/>
        <v/>
      </c>
      <c r="AV382" s="609" t="str">
        <f t="shared" si="86"/>
        <v/>
      </c>
      <c r="AW382" s="609" t="str">
        <f t="shared" si="86"/>
        <v/>
      </c>
      <c r="AX382" s="609" t="str">
        <f t="shared" si="86"/>
        <v/>
      </c>
      <c r="AY382" s="609" t="str">
        <f t="shared" si="86"/>
        <v/>
      </c>
      <c r="AZ382" s="609" t="str">
        <f t="shared" si="86"/>
        <v/>
      </c>
      <c r="BA382" s="609" t="str">
        <f t="shared" si="86"/>
        <v/>
      </c>
      <c r="BB382" s="609" t="str">
        <f t="shared" si="86"/>
        <v/>
      </c>
      <c r="BC382" s="609" t="str">
        <f t="shared" si="85"/>
        <v/>
      </c>
      <c r="BD382" s="609" t="str">
        <f t="shared" si="85"/>
        <v/>
      </c>
      <c r="BE382" s="609" t="str">
        <f t="shared" si="85"/>
        <v/>
      </c>
      <c r="BF382" s="609" t="str">
        <f t="shared" si="85"/>
        <v/>
      </c>
      <c r="BG382" s="609" t="str">
        <f t="shared" si="85"/>
        <v/>
      </c>
    </row>
    <row r="383" spans="2:59" x14ac:dyDescent="0.25">
      <c r="B383" s="654">
        <v>377</v>
      </c>
      <c r="C383" s="654"/>
      <c r="D383" s="654"/>
      <c r="E383" s="655"/>
      <c r="F383" s="654"/>
      <c r="H383" s="609" t="str">
        <f t="shared" si="84"/>
        <v/>
      </c>
      <c r="I383" s="609" t="str">
        <f t="shared" si="84"/>
        <v/>
      </c>
      <c r="J383" s="609" t="str">
        <f t="shared" si="84"/>
        <v/>
      </c>
      <c r="K383" s="609" t="str">
        <f t="shared" si="84"/>
        <v/>
      </c>
      <c r="L383" s="609" t="str">
        <f t="shared" si="84"/>
        <v/>
      </c>
      <c r="M383" s="609" t="str">
        <f t="shared" si="84"/>
        <v/>
      </c>
      <c r="N383" s="609" t="str">
        <f t="shared" si="84"/>
        <v/>
      </c>
      <c r="O383" s="609" t="str">
        <f t="shared" si="84"/>
        <v/>
      </c>
      <c r="P383" s="609" t="str">
        <f t="shared" si="84"/>
        <v/>
      </c>
      <c r="Q383" s="609" t="str">
        <f t="shared" si="84"/>
        <v/>
      </c>
      <c r="R383" s="609" t="str">
        <f t="shared" si="84"/>
        <v/>
      </c>
      <c r="S383" s="609" t="str">
        <f t="shared" si="84"/>
        <v/>
      </c>
      <c r="T383" s="609" t="str">
        <f t="shared" si="84"/>
        <v/>
      </c>
      <c r="U383" s="609" t="str">
        <f t="shared" si="84"/>
        <v/>
      </c>
      <c r="V383" s="609" t="str">
        <f t="shared" si="84"/>
        <v/>
      </c>
      <c r="W383" s="609" t="str">
        <f t="shared" si="84"/>
        <v/>
      </c>
      <c r="X383" s="609" t="str">
        <f t="shared" si="83"/>
        <v/>
      </c>
      <c r="Y383" s="609" t="str">
        <f t="shared" si="83"/>
        <v/>
      </c>
      <c r="Z383" s="609" t="str">
        <f t="shared" si="83"/>
        <v/>
      </c>
      <c r="AA383" s="609" t="str">
        <f t="shared" si="83"/>
        <v/>
      </c>
      <c r="AB383" s="609" t="str">
        <f t="shared" si="83"/>
        <v/>
      </c>
      <c r="AC383" s="609" t="str">
        <f t="shared" si="83"/>
        <v/>
      </c>
      <c r="AD383" s="609" t="str">
        <f t="shared" si="83"/>
        <v/>
      </c>
      <c r="AE383" s="609" t="str">
        <f t="shared" si="83"/>
        <v/>
      </c>
      <c r="AF383" s="609" t="str">
        <f t="shared" si="83"/>
        <v/>
      </c>
      <c r="AG383" s="609" t="str">
        <f t="shared" si="83"/>
        <v/>
      </c>
      <c r="AH383" s="609" t="str">
        <f t="shared" si="83"/>
        <v/>
      </c>
      <c r="AI383" s="609" t="str">
        <f t="shared" si="83"/>
        <v/>
      </c>
      <c r="AJ383" s="609" t="str">
        <f t="shared" si="83"/>
        <v/>
      </c>
      <c r="AK383" s="609" t="str">
        <f t="shared" si="83"/>
        <v/>
      </c>
      <c r="AL383" s="609" t="str">
        <f t="shared" si="83"/>
        <v/>
      </c>
      <c r="AM383" s="609" t="str">
        <f t="shared" si="86"/>
        <v/>
      </c>
      <c r="AN383" s="609" t="str">
        <f t="shared" si="86"/>
        <v/>
      </c>
      <c r="AO383" s="609" t="str">
        <f t="shared" si="86"/>
        <v/>
      </c>
      <c r="AP383" s="609" t="str">
        <f t="shared" si="86"/>
        <v/>
      </c>
      <c r="AQ383" s="609" t="str">
        <f t="shared" si="86"/>
        <v/>
      </c>
      <c r="AR383" s="609" t="str">
        <f t="shared" si="86"/>
        <v/>
      </c>
      <c r="AS383" s="609" t="str">
        <f t="shared" si="86"/>
        <v/>
      </c>
      <c r="AT383" s="609" t="str">
        <f t="shared" si="86"/>
        <v/>
      </c>
      <c r="AU383" s="609" t="str">
        <f t="shared" si="86"/>
        <v/>
      </c>
      <c r="AV383" s="609" t="str">
        <f t="shared" si="86"/>
        <v/>
      </c>
      <c r="AW383" s="609" t="str">
        <f t="shared" si="86"/>
        <v/>
      </c>
      <c r="AX383" s="609" t="str">
        <f t="shared" si="86"/>
        <v/>
      </c>
      <c r="AY383" s="609" t="str">
        <f t="shared" si="86"/>
        <v/>
      </c>
      <c r="AZ383" s="609" t="str">
        <f t="shared" si="86"/>
        <v/>
      </c>
      <c r="BA383" s="609" t="str">
        <f t="shared" si="86"/>
        <v/>
      </c>
      <c r="BB383" s="609" t="str">
        <f t="shared" si="86"/>
        <v/>
      </c>
      <c r="BC383" s="609" t="str">
        <f t="shared" si="85"/>
        <v/>
      </c>
      <c r="BD383" s="609" t="str">
        <f t="shared" si="85"/>
        <v/>
      </c>
      <c r="BE383" s="609" t="str">
        <f t="shared" si="85"/>
        <v/>
      </c>
      <c r="BF383" s="609" t="str">
        <f t="shared" si="85"/>
        <v/>
      </c>
      <c r="BG383" s="609" t="str">
        <f t="shared" si="85"/>
        <v/>
      </c>
    </row>
    <row r="384" spans="2:59" x14ac:dyDescent="0.25">
      <c r="B384" s="654">
        <v>378</v>
      </c>
      <c r="C384" s="654"/>
      <c r="D384" s="654"/>
      <c r="E384" s="655"/>
      <c r="F384" s="654"/>
      <c r="H384" s="609" t="str">
        <f t="shared" si="84"/>
        <v/>
      </c>
      <c r="I384" s="609" t="str">
        <f t="shared" si="84"/>
        <v/>
      </c>
      <c r="J384" s="609" t="str">
        <f t="shared" si="84"/>
        <v/>
      </c>
      <c r="K384" s="609" t="str">
        <f t="shared" si="84"/>
        <v/>
      </c>
      <c r="L384" s="609" t="str">
        <f t="shared" si="84"/>
        <v/>
      </c>
      <c r="M384" s="609" t="str">
        <f t="shared" si="84"/>
        <v/>
      </c>
      <c r="N384" s="609" t="str">
        <f t="shared" si="84"/>
        <v/>
      </c>
      <c r="O384" s="609" t="str">
        <f t="shared" si="84"/>
        <v/>
      </c>
      <c r="P384" s="609" t="str">
        <f t="shared" si="84"/>
        <v/>
      </c>
      <c r="Q384" s="609" t="str">
        <f t="shared" si="84"/>
        <v/>
      </c>
      <c r="R384" s="609" t="str">
        <f t="shared" si="84"/>
        <v/>
      </c>
      <c r="S384" s="609" t="str">
        <f t="shared" si="84"/>
        <v/>
      </c>
      <c r="T384" s="609" t="str">
        <f t="shared" si="84"/>
        <v/>
      </c>
      <c r="U384" s="609" t="str">
        <f t="shared" si="84"/>
        <v/>
      </c>
      <c r="V384" s="609" t="str">
        <f t="shared" si="84"/>
        <v/>
      </c>
      <c r="W384" s="609" t="str">
        <f t="shared" si="84"/>
        <v/>
      </c>
      <c r="X384" s="609" t="str">
        <f t="shared" si="83"/>
        <v/>
      </c>
      <c r="Y384" s="609" t="str">
        <f t="shared" si="83"/>
        <v/>
      </c>
      <c r="Z384" s="609" t="str">
        <f t="shared" si="83"/>
        <v/>
      </c>
      <c r="AA384" s="609" t="str">
        <f t="shared" si="83"/>
        <v/>
      </c>
      <c r="AB384" s="609" t="str">
        <f t="shared" si="83"/>
        <v/>
      </c>
      <c r="AC384" s="609" t="str">
        <f t="shared" si="83"/>
        <v/>
      </c>
      <c r="AD384" s="609" t="str">
        <f t="shared" si="83"/>
        <v/>
      </c>
      <c r="AE384" s="609" t="str">
        <f t="shared" si="83"/>
        <v/>
      </c>
      <c r="AF384" s="609" t="str">
        <f t="shared" si="83"/>
        <v/>
      </c>
      <c r="AG384" s="609" t="str">
        <f t="shared" si="83"/>
        <v/>
      </c>
      <c r="AH384" s="609" t="str">
        <f t="shared" si="83"/>
        <v/>
      </c>
      <c r="AI384" s="609" t="str">
        <f t="shared" si="83"/>
        <v/>
      </c>
      <c r="AJ384" s="609" t="str">
        <f t="shared" si="83"/>
        <v/>
      </c>
      <c r="AK384" s="609" t="str">
        <f t="shared" si="83"/>
        <v/>
      </c>
      <c r="AL384" s="609" t="str">
        <f t="shared" si="83"/>
        <v/>
      </c>
      <c r="AM384" s="609" t="str">
        <f t="shared" si="86"/>
        <v/>
      </c>
      <c r="AN384" s="609" t="str">
        <f t="shared" si="86"/>
        <v/>
      </c>
      <c r="AO384" s="609" t="str">
        <f t="shared" si="86"/>
        <v/>
      </c>
      <c r="AP384" s="609" t="str">
        <f t="shared" si="86"/>
        <v/>
      </c>
      <c r="AQ384" s="609" t="str">
        <f t="shared" si="86"/>
        <v/>
      </c>
      <c r="AR384" s="609" t="str">
        <f t="shared" si="86"/>
        <v/>
      </c>
      <c r="AS384" s="609" t="str">
        <f t="shared" si="86"/>
        <v/>
      </c>
      <c r="AT384" s="609" t="str">
        <f t="shared" si="86"/>
        <v/>
      </c>
      <c r="AU384" s="609" t="str">
        <f t="shared" si="86"/>
        <v/>
      </c>
      <c r="AV384" s="609" t="str">
        <f t="shared" si="86"/>
        <v/>
      </c>
      <c r="AW384" s="609" t="str">
        <f t="shared" si="86"/>
        <v/>
      </c>
      <c r="AX384" s="609" t="str">
        <f t="shared" si="86"/>
        <v/>
      </c>
      <c r="AY384" s="609" t="str">
        <f t="shared" si="86"/>
        <v/>
      </c>
      <c r="AZ384" s="609" t="str">
        <f t="shared" si="86"/>
        <v/>
      </c>
      <c r="BA384" s="609" t="str">
        <f t="shared" si="86"/>
        <v/>
      </c>
      <c r="BB384" s="609" t="str">
        <f t="shared" si="86"/>
        <v/>
      </c>
      <c r="BC384" s="609" t="str">
        <f t="shared" si="85"/>
        <v/>
      </c>
      <c r="BD384" s="609" t="str">
        <f t="shared" si="85"/>
        <v/>
      </c>
      <c r="BE384" s="609" t="str">
        <f t="shared" si="85"/>
        <v/>
      </c>
      <c r="BF384" s="609" t="str">
        <f t="shared" si="85"/>
        <v/>
      </c>
      <c r="BG384" s="609" t="str">
        <f t="shared" si="85"/>
        <v/>
      </c>
    </row>
    <row r="385" spans="2:59" x14ac:dyDescent="0.25">
      <c r="B385" s="654">
        <v>379</v>
      </c>
      <c r="C385" s="654"/>
      <c r="D385" s="654"/>
      <c r="E385" s="655"/>
      <c r="F385" s="654"/>
      <c r="H385" s="609" t="str">
        <f t="shared" si="84"/>
        <v/>
      </c>
      <c r="I385" s="609" t="str">
        <f t="shared" si="84"/>
        <v/>
      </c>
      <c r="J385" s="609" t="str">
        <f t="shared" si="84"/>
        <v/>
      </c>
      <c r="K385" s="609" t="str">
        <f t="shared" si="84"/>
        <v/>
      </c>
      <c r="L385" s="609" t="str">
        <f t="shared" si="84"/>
        <v/>
      </c>
      <c r="M385" s="609" t="str">
        <f t="shared" si="84"/>
        <v/>
      </c>
      <c r="N385" s="609" t="str">
        <f t="shared" si="84"/>
        <v/>
      </c>
      <c r="O385" s="609" t="str">
        <f t="shared" si="84"/>
        <v/>
      </c>
      <c r="P385" s="609" t="str">
        <f t="shared" si="84"/>
        <v/>
      </c>
      <c r="Q385" s="609" t="str">
        <f t="shared" si="84"/>
        <v/>
      </c>
      <c r="R385" s="609" t="str">
        <f t="shared" si="84"/>
        <v/>
      </c>
      <c r="S385" s="609" t="str">
        <f t="shared" si="84"/>
        <v/>
      </c>
      <c r="T385" s="609" t="str">
        <f t="shared" si="84"/>
        <v/>
      </c>
      <c r="U385" s="609" t="str">
        <f t="shared" si="84"/>
        <v/>
      </c>
      <c r="V385" s="609" t="str">
        <f t="shared" si="84"/>
        <v/>
      </c>
      <c r="W385" s="609" t="str">
        <f t="shared" si="84"/>
        <v/>
      </c>
      <c r="X385" s="609" t="str">
        <f t="shared" si="83"/>
        <v/>
      </c>
      <c r="Y385" s="609" t="str">
        <f t="shared" si="83"/>
        <v/>
      </c>
      <c r="Z385" s="609" t="str">
        <f t="shared" si="83"/>
        <v/>
      </c>
      <c r="AA385" s="609" t="str">
        <f t="shared" si="83"/>
        <v/>
      </c>
      <c r="AB385" s="609" t="str">
        <f t="shared" si="83"/>
        <v/>
      </c>
      <c r="AC385" s="609" t="str">
        <f t="shared" si="83"/>
        <v/>
      </c>
      <c r="AD385" s="609" t="str">
        <f t="shared" si="83"/>
        <v/>
      </c>
      <c r="AE385" s="609" t="str">
        <f t="shared" si="83"/>
        <v/>
      </c>
      <c r="AF385" s="609" t="str">
        <f t="shared" si="83"/>
        <v/>
      </c>
      <c r="AG385" s="609" t="str">
        <f t="shared" si="83"/>
        <v/>
      </c>
      <c r="AH385" s="609" t="str">
        <f t="shared" si="83"/>
        <v/>
      </c>
      <c r="AI385" s="609" t="str">
        <f t="shared" si="83"/>
        <v/>
      </c>
      <c r="AJ385" s="609" t="str">
        <f t="shared" si="83"/>
        <v/>
      </c>
      <c r="AK385" s="609" t="str">
        <f t="shared" si="83"/>
        <v/>
      </c>
      <c r="AL385" s="609" t="str">
        <f t="shared" si="83"/>
        <v/>
      </c>
      <c r="AM385" s="609" t="str">
        <f t="shared" si="86"/>
        <v/>
      </c>
      <c r="AN385" s="609" t="str">
        <f t="shared" si="86"/>
        <v/>
      </c>
      <c r="AO385" s="609" t="str">
        <f t="shared" si="86"/>
        <v/>
      </c>
      <c r="AP385" s="609" t="str">
        <f t="shared" si="86"/>
        <v/>
      </c>
      <c r="AQ385" s="609" t="str">
        <f t="shared" si="86"/>
        <v/>
      </c>
      <c r="AR385" s="609" t="str">
        <f t="shared" si="86"/>
        <v/>
      </c>
      <c r="AS385" s="609" t="str">
        <f t="shared" si="86"/>
        <v/>
      </c>
      <c r="AT385" s="609" t="str">
        <f t="shared" si="86"/>
        <v/>
      </c>
      <c r="AU385" s="609" t="str">
        <f t="shared" si="86"/>
        <v/>
      </c>
      <c r="AV385" s="609" t="str">
        <f t="shared" si="86"/>
        <v/>
      </c>
      <c r="AW385" s="609" t="str">
        <f t="shared" si="86"/>
        <v/>
      </c>
      <c r="AX385" s="609" t="str">
        <f t="shared" si="86"/>
        <v/>
      </c>
      <c r="AY385" s="609" t="str">
        <f t="shared" si="86"/>
        <v/>
      </c>
      <c r="AZ385" s="609" t="str">
        <f t="shared" si="86"/>
        <v/>
      </c>
      <c r="BA385" s="609" t="str">
        <f t="shared" si="86"/>
        <v/>
      </c>
      <c r="BB385" s="609" t="str">
        <f t="shared" si="86"/>
        <v/>
      </c>
      <c r="BC385" s="609" t="str">
        <f t="shared" si="85"/>
        <v/>
      </c>
      <c r="BD385" s="609" t="str">
        <f t="shared" si="85"/>
        <v/>
      </c>
      <c r="BE385" s="609" t="str">
        <f t="shared" si="85"/>
        <v/>
      </c>
      <c r="BF385" s="609" t="str">
        <f t="shared" si="85"/>
        <v/>
      </c>
      <c r="BG385" s="609" t="str">
        <f t="shared" si="85"/>
        <v/>
      </c>
    </row>
    <row r="386" spans="2:59" x14ac:dyDescent="0.25">
      <c r="B386" s="654">
        <v>380</v>
      </c>
      <c r="C386" s="654"/>
      <c r="D386" s="654"/>
      <c r="E386" s="655"/>
      <c r="F386" s="654"/>
      <c r="H386" s="609" t="str">
        <f t="shared" si="84"/>
        <v/>
      </c>
      <c r="I386" s="609" t="str">
        <f t="shared" si="84"/>
        <v/>
      </c>
      <c r="J386" s="609" t="str">
        <f t="shared" si="84"/>
        <v/>
      </c>
      <c r="K386" s="609" t="str">
        <f t="shared" si="84"/>
        <v/>
      </c>
      <c r="L386" s="609" t="str">
        <f t="shared" si="84"/>
        <v/>
      </c>
      <c r="M386" s="609" t="str">
        <f t="shared" si="84"/>
        <v/>
      </c>
      <c r="N386" s="609" t="str">
        <f t="shared" si="84"/>
        <v/>
      </c>
      <c r="O386" s="609" t="str">
        <f t="shared" si="84"/>
        <v/>
      </c>
      <c r="P386" s="609" t="str">
        <f t="shared" si="84"/>
        <v/>
      </c>
      <c r="Q386" s="609" t="str">
        <f t="shared" si="84"/>
        <v/>
      </c>
      <c r="R386" s="609" t="str">
        <f t="shared" si="84"/>
        <v/>
      </c>
      <c r="S386" s="609" t="str">
        <f t="shared" si="84"/>
        <v/>
      </c>
      <c r="T386" s="609" t="str">
        <f t="shared" si="84"/>
        <v/>
      </c>
      <c r="U386" s="609" t="str">
        <f t="shared" si="84"/>
        <v/>
      </c>
      <c r="V386" s="609" t="str">
        <f t="shared" si="84"/>
        <v/>
      </c>
      <c r="W386" s="609" t="str">
        <f t="shared" si="84"/>
        <v/>
      </c>
      <c r="X386" s="609" t="str">
        <f t="shared" si="83"/>
        <v/>
      </c>
      <c r="Y386" s="609" t="str">
        <f t="shared" si="83"/>
        <v/>
      </c>
      <c r="Z386" s="609" t="str">
        <f t="shared" si="83"/>
        <v/>
      </c>
      <c r="AA386" s="609" t="str">
        <f t="shared" si="83"/>
        <v/>
      </c>
      <c r="AB386" s="609" t="str">
        <f t="shared" si="83"/>
        <v/>
      </c>
      <c r="AC386" s="609" t="str">
        <f t="shared" si="83"/>
        <v/>
      </c>
      <c r="AD386" s="609" t="str">
        <f t="shared" si="83"/>
        <v/>
      </c>
      <c r="AE386" s="609" t="str">
        <f t="shared" si="83"/>
        <v/>
      </c>
      <c r="AF386" s="609" t="str">
        <f t="shared" si="83"/>
        <v/>
      </c>
      <c r="AG386" s="609" t="str">
        <f t="shared" si="83"/>
        <v/>
      </c>
      <c r="AH386" s="609" t="str">
        <f t="shared" si="83"/>
        <v/>
      </c>
      <c r="AI386" s="609" t="str">
        <f t="shared" si="83"/>
        <v/>
      </c>
      <c r="AJ386" s="609" t="str">
        <f t="shared" si="83"/>
        <v/>
      </c>
      <c r="AK386" s="609" t="str">
        <f t="shared" si="83"/>
        <v/>
      </c>
      <c r="AL386" s="609" t="str">
        <f t="shared" si="83"/>
        <v/>
      </c>
      <c r="AM386" s="609" t="str">
        <f t="shared" si="86"/>
        <v/>
      </c>
      <c r="AN386" s="609" t="str">
        <f t="shared" si="86"/>
        <v/>
      </c>
      <c r="AO386" s="609" t="str">
        <f t="shared" si="86"/>
        <v/>
      </c>
      <c r="AP386" s="609" t="str">
        <f t="shared" si="86"/>
        <v/>
      </c>
      <c r="AQ386" s="609" t="str">
        <f t="shared" si="86"/>
        <v/>
      </c>
      <c r="AR386" s="609" t="str">
        <f t="shared" si="86"/>
        <v/>
      </c>
      <c r="AS386" s="609" t="str">
        <f t="shared" si="86"/>
        <v/>
      </c>
      <c r="AT386" s="609" t="str">
        <f t="shared" si="86"/>
        <v/>
      </c>
      <c r="AU386" s="609" t="str">
        <f t="shared" si="86"/>
        <v/>
      </c>
      <c r="AV386" s="609" t="str">
        <f t="shared" si="86"/>
        <v/>
      </c>
      <c r="AW386" s="609" t="str">
        <f t="shared" si="86"/>
        <v/>
      </c>
      <c r="AX386" s="609" t="str">
        <f t="shared" si="86"/>
        <v/>
      </c>
      <c r="AY386" s="609" t="str">
        <f t="shared" si="86"/>
        <v/>
      </c>
      <c r="AZ386" s="609" t="str">
        <f t="shared" si="86"/>
        <v/>
      </c>
      <c r="BA386" s="609" t="str">
        <f t="shared" si="86"/>
        <v/>
      </c>
      <c r="BB386" s="609" t="str">
        <f t="shared" si="86"/>
        <v/>
      </c>
      <c r="BC386" s="609" t="str">
        <f t="shared" si="85"/>
        <v/>
      </c>
      <c r="BD386" s="609" t="str">
        <f t="shared" si="85"/>
        <v/>
      </c>
      <c r="BE386" s="609" t="str">
        <f t="shared" si="85"/>
        <v/>
      </c>
      <c r="BF386" s="609" t="str">
        <f t="shared" si="85"/>
        <v/>
      </c>
      <c r="BG386" s="609" t="str">
        <f t="shared" si="85"/>
        <v/>
      </c>
    </row>
    <row r="387" spans="2:59" x14ac:dyDescent="0.25">
      <c r="B387" s="654">
        <v>381</v>
      </c>
      <c r="C387" s="654"/>
      <c r="D387" s="654"/>
      <c r="E387" s="655"/>
      <c r="F387" s="654"/>
      <c r="H387" s="609" t="str">
        <f t="shared" si="84"/>
        <v/>
      </c>
      <c r="I387" s="609" t="str">
        <f t="shared" si="84"/>
        <v/>
      </c>
      <c r="J387" s="609" t="str">
        <f t="shared" si="84"/>
        <v/>
      </c>
      <c r="K387" s="609" t="str">
        <f t="shared" si="84"/>
        <v/>
      </c>
      <c r="L387" s="609" t="str">
        <f t="shared" si="84"/>
        <v/>
      </c>
      <c r="M387" s="609" t="str">
        <f t="shared" si="84"/>
        <v/>
      </c>
      <c r="N387" s="609" t="str">
        <f t="shared" si="84"/>
        <v/>
      </c>
      <c r="O387" s="609" t="str">
        <f t="shared" si="84"/>
        <v/>
      </c>
      <c r="P387" s="609" t="str">
        <f t="shared" si="84"/>
        <v/>
      </c>
      <c r="Q387" s="609" t="str">
        <f t="shared" si="84"/>
        <v/>
      </c>
      <c r="R387" s="609" t="str">
        <f t="shared" si="84"/>
        <v/>
      </c>
      <c r="S387" s="609" t="str">
        <f t="shared" si="84"/>
        <v/>
      </c>
      <c r="T387" s="609" t="str">
        <f t="shared" si="84"/>
        <v/>
      </c>
      <c r="U387" s="609" t="str">
        <f t="shared" si="84"/>
        <v/>
      </c>
      <c r="V387" s="609" t="str">
        <f t="shared" si="84"/>
        <v/>
      </c>
      <c r="W387" s="609" t="str">
        <f t="shared" si="84"/>
        <v/>
      </c>
      <c r="X387" s="609" t="str">
        <f t="shared" si="83"/>
        <v/>
      </c>
      <c r="Y387" s="609" t="str">
        <f t="shared" si="83"/>
        <v/>
      </c>
      <c r="Z387" s="609" t="str">
        <f t="shared" si="83"/>
        <v/>
      </c>
      <c r="AA387" s="609" t="str">
        <f t="shared" si="83"/>
        <v/>
      </c>
      <c r="AB387" s="609" t="str">
        <f t="shared" si="83"/>
        <v/>
      </c>
      <c r="AC387" s="609" t="str">
        <f t="shared" si="83"/>
        <v/>
      </c>
      <c r="AD387" s="609" t="str">
        <f t="shared" si="83"/>
        <v/>
      </c>
      <c r="AE387" s="609" t="str">
        <f t="shared" si="83"/>
        <v/>
      </c>
      <c r="AF387" s="609" t="str">
        <f t="shared" si="83"/>
        <v/>
      </c>
      <c r="AG387" s="609" t="str">
        <f t="shared" si="83"/>
        <v/>
      </c>
      <c r="AH387" s="609" t="str">
        <f t="shared" si="83"/>
        <v/>
      </c>
      <c r="AI387" s="609" t="str">
        <f t="shared" si="83"/>
        <v/>
      </c>
      <c r="AJ387" s="609" t="str">
        <f t="shared" si="83"/>
        <v/>
      </c>
      <c r="AK387" s="609" t="str">
        <f t="shared" si="83"/>
        <v/>
      </c>
      <c r="AL387" s="609" t="str">
        <f t="shared" si="83"/>
        <v/>
      </c>
      <c r="AM387" s="609" t="str">
        <f t="shared" si="86"/>
        <v/>
      </c>
      <c r="AN387" s="609" t="str">
        <f t="shared" si="86"/>
        <v/>
      </c>
      <c r="AO387" s="609" t="str">
        <f t="shared" si="86"/>
        <v/>
      </c>
      <c r="AP387" s="609" t="str">
        <f t="shared" si="86"/>
        <v/>
      </c>
      <c r="AQ387" s="609" t="str">
        <f t="shared" si="86"/>
        <v/>
      </c>
      <c r="AR387" s="609" t="str">
        <f t="shared" si="86"/>
        <v/>
      </c>
      <c r="AS387" s="609" t="str">
        <f t="shared" si="86"/>
        <v/>
      </c>
      <c r="AT387" s="609" t="str">
        <f t="shared" si="86"/>
        <v/>
      </c>
      <c r="AU387" s="609" t="str">
        <f t="shared" si="86"/>
        <v/>
      </c>
      <c r="AV387" s="609" t="str">
        <f t="shared" si="86"/>
        <v/>
      </c>
      <c r="AW387" s="609" t="str">
        <f t="shared" si="86"/>
        <v/>
      </c>
      <c r="AX387" s="609" t="str">
        <f t="shared" si="86"/>
        <v/>
      </c>
      <c r="AY387" s="609" t="str">
        <f t="shared" si="86"/>
        <v/>
      </c>
      <c r="AZ387" s="609" t="str">
        <f t="shared" si="86"/>
        <v/>
      </c>
      <c r="BA387" s="609" t="str">
        <f t="shared" si="86"/>
        <v/>
      </c>
      <c r="BB387" s="609" t="str">
        <f t="shared" si="86"/>
        <v/>
      </c>
      <c r="BC387" s="609" t="str">
        <f t="shared" si="85"/>
        <v/>
      </c>
      <c r="BD387" s="609" t="str">
        <f t="shared" si="85"/>
        <v/>
      </c>
      <c r="BE387" s="609" t="str">
        <f t="shared" si="85"/>
        <v/>
      </c>
      <c r="BF387" s="609" t="str">
        <f t="shared" si="85"/>
        <v/>
      </c>
      <c r="BG387" s="609" t="str">
        <f t="shared" si="85"/>
        <v/>
      </c>
    </row>
    <row r="388" spans="2:59" x14ac:dyDescent="0.25">
      <c r="B388" s="654">
        <v>382</v>
      </c>
      <c r="C388" s="654"/>
      <c r="D388" s="654"/>
      <c r="E388" s="655"/>
      <c r="F388" s="654"/>
      <c r="H388" s="609" t="str">
        <f t="shared" si="84"/>
        <v/>
      </c>
      <c r="I388" s="609" t="str">
        <f t="shared" si="84"/>
        <v/>
      </c>
      <c r="J388" s="609" t="str">
        <f t="shared" si="84"/>
        <v/>
      </c>
      <c r="K388" s="609" t="str">
        <f t="shared" si="84"/>
        <v/>
      </c>
      <c r="L388" s="609" t="str">
        <f t="shared" si="84"/>
        <v/>
      </c>
      <c r="M388" s="609" t="str">
        <f t="shared" si="84"/>
        <v/>
      </c>
      <c r="N388" s="609" t="str">
        <f t="shared" si="84"/>
        <v/>
      </c>
      <c r="O388" s="609" t="str">
        <f t="shared" si="84"/>
        <v/>
      </c>
      <c r="P388" s="609" t="str">
        <f t="shared" si="84"/>
        <v/>
      </c>
      <c r="Q388" s="609" t="str">
        <f t="shared" si="84"/>
        <v/>
      </c>
      <c r="R388" s="609" t="str">
        <f t="shared" si="84"/>
        <v/>
      </c>
      <c r="S388" s="609" t="str">
        <f t="shared" si="84"/>
        <v/>
      </c>
      <c r="T388" s="609" t="str">
        <f t="shared" si="84"/>
        <v/>
      </c>
      <c r="U388" s="609" t="str">
        <f t="shared" si="84"/>
        <v/>
      </c>
      <c r="V388" s="609" t="str">
        <f t="shared" si="84"/>
        <v/>
      </c>
      <c r="W388" s="609" t="str">
        <f t="shared" si="84"/>
        <v/>
      </c>
      <c r="X388" s="609" t="str">
        <f t="shared" si="83"/>
        <v/>
      </c>
      <c r="Y388" s="609" t="str">
        <f t="shared" si="83"/>
        <v/>
      </c>
      <c r="Z388" s="609" t="str">
        <f t="shared" si="83"/>
        <v/>
      </c>
      <c r="AA388" s="609" t="str">
        <f t="shared" si="83"/>
        <v/>
      </c>
      <c r="AB388" s="609" t="str">
        <f t="shared" si="83"/>
        <v/>
      </c>
      <c r="AC388" s="609" t="str">
        <f t="shared" si="83"/>
        <v/>
      </c>
      <c r="AD388" s="609" t="str">
        <f t="shared" si="83"/>
        <v/>
      </c>
      <c r="AE388" s="609" t="str">
        <f t="shared" si="83"/>
        <v/>
      </c>
      <c r="AF388" s="609" t="str">
        <f t="shared" si="83"/>
        <v/>
      </c>
      <c r="AG388" s="609" t="str">
        <f t="shared" si="83"/>
        <v/>
      </c>
      <c r="AH388" s="609" t="str">
        <f t="shared" si="83"/>
        <v/>
      </c>
      <c r="AI388" s="609" t="str">
        <f t="shared" si="83"/>
        <v/>
      </c>
      <c r="AJ388" s="609" t="str">
        <f t="shared" si="83"/>
        <v/>
      </c>
      <c r="AK388" s="609" t="str">
        <f t="shared" si="83"/>
        <v/>
      </c>
      <c r="AL388" s="609" t="str">
        <f t="shared" si="83"/>
        <v/>
      </c>
      <c r="AM388" s="609" t="str">
        <f t="shared" si="86"/>
        <v/>
      </c>
      <c r="AN388" s="609" t="str">
        <f t="shared" si="86"/>
        <v/>
      </c>
      <c r="AO388" s="609" t="str">
        <f t="shared" si="86"/>
        <v/>
      </c>
      <c r="AP388" s="609" t="str">
        <f t="shared" si="86"/>
        <v/>
      </c>
      <c r="AQ388" s="609" t="str">
        <f t="shared" si="86"/>
        <v/>
      </c>
      <c r="AR388" s="609" t="str">
        <f t="shared" si="86"/>
        <v/>
      </c>
      <c r="AS388" s="609" t="str">
        <f t="shared" si="86"/>
        <v/>
      </c>
      <c r="AT388" s="609" t="str">
        <f t="shared" si="86"/>
        <v/>
      </c>
      <c r="AU388" s="609" t="str">
        <f t="shared" si="86"/>
        <v/>
      </c>
      <c r="AV388" s="609" t="str">
        <f t="shared" si="86"/>
        <v/>
      </c>
      <c r="AW388" s="609" t="str">
        <f t="shared" si="86"/>
        <v/>
      </c>
      <c r="AX388" s="609" t="str">
        <f t="shared" si="86"/>
        <v/>
      </c>
      <c r="AY388" s="609" t="str">
        <f t="shared" si="86"/>
        <v/>
      </c>
      <c r="AZ388" s="609" t="str">
        <f t="shared" si="86"/>
        <v/>
      </c>
      <c r="BA388" s="609" t="str">
        <f t="shared" si="86"/>
        <v/>
      </c>
      <c r="BB388" s="609" t="str">
        <f t="shared" si="86"/>
        <v/>
      </c>
      <c r="BC388" s="609" t="str">
        <f t="shared" si="85"/>
        <v/>
      </c>
      <c r="BD388" s="609" t="str">
        <f t="shared" si="85"/>
        <v/>
      </c>
      <c r="BE388" s="609" t="str">
        <f t="shared" si="85"/>
        <v/>
      </c>
      <c r="BF388" s="609" t="str">
        <f t="shared" si="85"/>
        <v/>
      </c>
      <c r="BG388" s="609" t="str">
        <f t="shared" si="85"/>
        <v/>
      </c>
    </row>
    <row r="389" spans="2:59" x14ac:dyDescent="0.25">
      <c r="B389" s="654">
        <v>383</v>
      </c>
      <c r="C389" s="654"/>
      <c r="D389" s="654"/>
      <c r="E389" s="655"/>
      <c r="F389" s="654"/>
      <c r="H389" s="609" t="str">
        <f t="shared" si="84"/>
        <v/>
      </c>
      <c r="I389" s="609" t="str">
        <f t="shared" si="84"/>
        <v/>
      </c>
      <c r="J389" s="609" t="str">
        <f t="shared" si="84"/>
        <v/>
      </c>
      <c r="K389" s="609" t="str">
        <f t="shared" si="84"/>
        <v/>
      </c>
      <c r="L389" s="609" t="str">
        <f t="shared" si="84"/>
        <v/>
      </c>
      <c r="M389" s="609" t="str">
        <f t="shared" si="84"/>
        <v/>
      </c>
      <c r="N389" s="609" t="str">
        <f t="shared" si="84"/>
        <v/>
      </c>
      <c r="O389" s="609" t="str">
        <f t="shared" si="84"/>
        <v/>
      </c>
      <c r="P389" s="609" t="str">
        <f t="shared" si="84"/>
        <v/>
      </c>
      <c r="Q389" s="609" t="str">
        <f t="shared" si="84"/>
        <v/>
      </c>
      <c r="R389" s="609" t="str">
        <f t="shared" si="84"/>
        <v/>
      </c>
      <c r="S389" s="609" t="str">
        <f t="shared" si="84"/>
        <v/>
      </c>
      <c r="T389" s="609" t="str">
        <f t="shared" si="84"/>
        <v/>
      </c>
      <c r="U389" s="609" t="str">
        <f t="shared" si="84"/>
        <v/>
      </c>
      <c r="V389" s="609" t="str">
        <f t="shared" si="84"/>
        <v/>
      </c>
      <c r="W389" s="609" t="str">
        <f t="shared" ref="W389:AL404" si="87">IF($D389=W$6,$B389&amp;", ","")</f>
        <v/>
      </c>
      <c r="X389" s="609" t="str">
        <f t="shared" si="87"/>
        <v/>
      </c>
      <c r="Y389" s="609" t="str">
        <f t="shared" si="87"/>
        <v/>
      </c>
      <c r="Z389" s="609" t="str">
        <f t="shared" si="87"/>
        <v/>
      </c>
      <c r="AA389" s="609" t="str">
        <f t="shared" si="87"/>
        <v/>
      </c>
      <c r="AB389" s="609" t="str">
        <f t="shared" si="87"/>
        <v/>
      </c>
      <c r="AC389" s="609" t="str">
        <f t="shared" si="87"/>
        <v/>
      </c>
      <c r="AD389" s="609" t="str">
        <f t="shared" si="87"/>
        <v/>
      </c>
      <c r="AE389" s="609" t="str">
        <f t="shared" si="87"/>
        <v/>
      </c>
      <c r="AF389" s="609" t="str">
        <f t="shared" si="87"/>
        <v/>
      </c>
      <c r="AG389" s="609" t="str">
        <f t="shared" si="87"/>
        <v/>
      </c>
      <c r="AH389" s="609" t="str">
        <f t="shared" si="87"/>
        <v/>
      </c>
      <c r="AI389" s="609" t="str">
        <f t="shared" si="87"/>
        <v/>
      </c>
      <c r="AJ389" s="609" t="str">
        <f t="shared" si="87"/>
        <v/>
      </c>
      <c r="AK389" s="609" t="str">
        <f t="shared" si="87"/>
        <v/>
      </c>
      <c r="AL389" s="609" t="str">
        <f t="shared" si="87"/>
        <v/>
      </c>
      <c r="AM389" s="609" t="str">
        <f t="shared" si="86"/>
        <v/>
      </c>
      <c r="AN389" s="609" t="str">
        <f t="shared" si="86"/>
        <v/>
      </c>
      <c r="AO389" s="609" t="str">
        <f t="shared" si="86"/>
        <v/>
      </c>
      <c r="AP389" s="609" t="str">
        <f t="shared" si="86"/>
        <v/>
      </c>
      <c r="AQ389" s="609" t="str">
        <f t="shared" si="86"/>
        <v/>
      </c>
      <c r="AR389" s="609" t="str">
        <f t="shared" si="86"/>
        <v/>
      </c>
      <c r="AS389" s="609" t="str">
        <f t="shared" si="86"/>
        <v/>
      </c>
      <c r="AT389" s="609" t="str">
        <f t="shared" si="86"/>
        <v/>
      </c>
      <c r="AU389" s="609" t="str">
        <f t="shared" si="86"/>
        <v/>
      </c>
      <c r="AV389" s="609" t="str">
        <f t="shared" si="86"/>
        <v/>
      </c>
      <c r="AW389" s="609" t="str">
        <f t="shared" si="86"/>
        <v/>
      </c>
      <c r="AX389" s="609" t="str">
        <f t="shared" si="86"/>
        <v/>
      </c>
      <c r="AY389" s="609" t="str">
        <f t="shared" si="86"/>
        <v/>
      </c>
      <c r="AZ389" s="609" t="str">
        <f t="shared" si="86"/>
        <v/>
      </c>
      <c r="BA389" s="609" t="str">
        <f t="shared" si="86"/>
        <v/>
      </c>
      <c r="BB389" s="609" t="str">
        <f t="shared" si="86"/>
        <v/>
      </c>
      <c r="BC389" s="609" t="str">
        <f t="shared" si="85"/>
        <v/>
      </c>
      <c r="BD389" s="609" t="str">
        <f t="shared" si="85"/>
        <v/>
      </c>
      <c r="BE389" s="609" t="str">
        <f t="shared" si="85"/>
        <v/>
      </c>
      <c r="BF389" s="609" t="str">
        <f t="shared" si="85"/>
        <v/>
      </c>
      <c r="BG389" s="609" t="str">
        <f t="shared" si="85"/>
        <v/>
      </c>
    </row>
    <row r="390" spans="2:59" x14ac:dyDescent="0.25">
      <c r="B390" s="654">
        <v>384</v>
      </c>
      <c r="C390" s="654"/>
      <c r="D390" s="654"/>
      <c r="E390" s="655"/>
      <c r="F390" s="654"/>
      <c r="H390" s="609" t="str">
        <f t="shared" ref="H390:W405" si="88">IF($D390=H$6,$B390&amp;", ","")</f>
        <v/>
      </c>
      <c r="I390" s="609" t="str">
        <f t="shared" si="88"/>
        <v/>
      </c>
      <c r="J390" s="609" t="str">
        <f t="shared" si="88"/>
        <v/>
      </c>
      <c r="K390" s="609" t="str">
        <f t="shared" si="88"/>
        <v/>
      </c>
      <c r="L390" s="609" t="str">
        <f t="shared" si="88"/>
        <v/>
      </c>
      <c r="M390" s="609" t="str">
        <f t="shared" si="88"/>
        <v/>
      </c>
      <c r="N390" s="609" t="str">
        <f t="shared" si="88"/>
        <v/>
      </c>
      <c r="O390" s="609" t="str">
        <f t="shared" si="88"/>
        <v/>
      </c>
      <c r="P390" s="609" t="str">
        <f t="shared" si="88"/>
        <v/>
      </c>
      <c r="Q390" s="609" t="str">
        <f t="shared" si="88"/>
        <v/>
      </c>
      <c r="R390" s="609" t="str">
        <f t="shared" si="88"/>
        <v/>
      </c>
      <c r="S390" s="609" t="str">
        <f t="shared" si="88"/>
        <v/>
      </c>
      <c r="T390" s="609" t="str">
        <f t="shared" si="88"/>
        <v/>
      </c>
      <c r="U390" s="609" t="str">
        <f t="shared" si="88"/>
        <v/>
      </c>
      <c r="V390" s="609" t="str">
        <f t="shared" si="88"/>
        <v/>
      </c>
      <c r="W390" s="609" t="str">
        <f t="shared" si="88"/>
        <v/>
      </c>
      <c r="X390" s="609" t="str">
        <f t="shared" si="87"/>
        <v/>
      </c>
      <c r="Y390" s="609" t="str">
        <f t="shared" si="87"/>
        <v/>
      </c>
      <c r="Z390" s="609" t="str">
        <f t="shared" si="87"/>
        <v/>
      </c>
      <c r="AA390" s="609" t="str">
        <f t="shared" si="87"/>
        <v/>
      </c>
      <c r="AB390" s="609" t="str">
        <f t="shared" si="87"/>
        <v/>
      </c>
      <c r="AC390" s="609" t="str">
        <f t="shared" si="87"/>
        <v/>
      </c>
      <c r="AD390" s="609" t="str">
        <f t="shared" si="87"/>
        <v/>
      </c>
      <c r="AE390" s="609" t="str">
        <f t="shared" si="87"/>
        <v/>
      </c>
      <c r="AF390" s="609" t="str">
        <f t="shared" si="87"/>
        <v/>
      </c>
      <c r="AG390" s="609" t="str">
        <f t="shared" si="87"/>
        <v/>
      </c>
      <c r="AH390" s="609" t="str">
        <f t="shared" si="87"/>
        <v/>
      </c>
      <c r="AI390" s="609" t="str">
        <f t="shared" si="87"/>
        <v/>
      </c>
      <c r="AJ390" s="609" t="str">
        <f t="shared" si="87"/>
        <v/>
      </c>
      <c r="AK390" s="609" t="str">
        <f t="shared" si="87"/>
        <v/>
      </c>
      <c r="AL390" s="609" t="str">
        <f t="shared" si="87"/>
        <v/>
      </c>
      <c r="AM390" s="609" t="str">
        <f t="shared" si="86"/>
        <v/>
      </c>
      <c r="AN390" s="609" t="str">
        <f t="shared" si="86"/>
        <v/>
      </c>
      <c r="AO390" s="609" t="str">
        <f t="shared" si="86"/>
        <v/>
      </c>
      <c r="AP390" s="609" t="str">
        <f t="shared" si="86"/>
        <v/>
      </c>
      <c r="AQ390" s="609" t="str">
        <f t="shared" si="86"/>
        <v/>
      </c>
      <c r="AR390" s="609" t="str">
        <f t="shared" si="86"/>
        <v/>
      </c>
      <c r="AS390" s="609" t="str">
        <f t="shared" si="86"/>
        <v/>
      </c>
      <c r="AT390" s="609" t="str">
        <f t="shared" si="86"/>
        <v/>
      </c>
      <c r="AU390" s="609" t="str">
        <f t="shared" si="86"/>
        <v/>
      </c>
      <c r="AV390" s="609" t="str">
        <f t="shared" si="86"/>
        <v/>
      </c>
      <c r="AW390" s="609" t="str">
        <f t="shared" si="86"/>
        <v/>
      </c>
      <c r="AX390" s="609" t="str">
        <f t="shared" si="86"/>
        <v/>
      </c>
      <c r="AY390" s="609" t="str">
        <f t="shared" si="86"/>
        <v/>
      </c>
      <c r="AZ390" s="609" t="str">
        <f t="shared" si="86"/>
        <v/>
      </c>
      <c r="BA390" s="609" t="str">
        <f t="shared" si="86"/>
        <v/>
      </c>
      <c r="BB390" s="609" t="str">
        <f t="shared" si="86"/>
        <v/>
      </c>
      <c r="BC390" s="609" t="str">
        <f t="shared" si="85"/>
        <v/>
      </c>
      <c r="BD390" s="609" t="str">
        <f t="shared" si="85"/>
        <v/>
      </c>
      <c r="BE390" s="609" t="str">
        <f t="shared" si="85"/>
        <v/>
      </c>
      <c r="BF390" s="609" t="str">
        <f t="shared" si="85"/>
        <v/>
      </c>
      <c r="BG390" s="609" t="str">
        <f t="shared" si="85"/>
        <v/>
      </c>
    </row>
    <row r="391" spans="2:59" x14ac:dyDescent="0.25">
      <c r="B391" s="654">
        <v>385</v>
      </c>
      <c r="C391" s="654"/>
      <c r="D391" s="654"/>
      <c r="E391" s="655"/>
      <c r="F391" s="654"/>
      <c r="H391" s="609" t="str">
        <f t="shared" si="88"/>
        <v/>
      </c>
      <c r="I391" s="609" t="str">
        <f t="shared" si="88"/>
        <v/>
      </c>
      <c r="J391" s="609" t="str">
        <f t="shared" si="88"/>
        <v/>
      </c>
      <c r="K391" s="609" t="str">
        <f t="shared" si="88"/>
        <v/>
      </c>
      <c r="L391" s="609" t="str">
        <f t="shared" si="88"/>
        <v/>
      </c>
      <c r="M391" s="609" t="str">
        <f t="shared" si="88"/>
        <v/>
      </c>
      <c r="N391" s="609" t="str">
        <f t="shared" si="88"/>
        <v/>
      </c>
      <c r="O391" s="609" t="str">
        <f t="shared" si="88"/>
        <v/>
      </c>
      <c r="P391" s="609" t="str">
        <f t="shared" si="88"/>
        <v/>
      </c>
      <c r="Q391" s="609" t="str">
        <f t="shared" si="88"/>
        <v/>
      </c>
      <c r="R391" s="609" t="str">
        <f t="shared" si="88"/>
        <v/>
      </c>
      <c r="S391" s="609" t="str">
        <f t="shared" si="88"/>
        <v/>
      </c>
      <c r="T391" s="609" t="str">
        <f t="shared" si="88"/>
        <v/>
      </c>
      <c r="U391" s="609" t="str">
        <f t="shared" si="88"/>
        <v/>
      </c>
      <c r="V391" s="609" t="str">
        <f t="shared" si="88"/>
        <v/>
      </c>
      <c r="W391" s="609" t="str">
        <f t="shared" si="88"/>
        <v/>
      </c>
      <c r="X391" s="609" t="str">
        <f t="shared" si="87"/>
        <v/>
      </c>
      <c r="Y391" s="609" t="str">
        <f t="shared" si="87"/>
        <v/>
      </c>
      <c r="Z391" s="609" t="str">
        <f t="shared" si="87"/>
        <v/>
      </c>
      <c r="AA391" s="609" t="str">
        <f t="shared" si="87"/>
        <v/>
      </c>
      <c r="AB391" s="609" t="str">
        <f t="shared" si="87"/>
        <v/>
      </c>
      <c r="AC391" s="609" t="str">
        <f t="shared" si="87"/>
        <v/>
      </c>
      <c r="AD391" s="609" t="str">
        <f t="shared" si="87"/>
        <v/>
      </c>
      <c r="AE391" s="609" t="str">
        <f t="shared" si="87"/>
        <v/>
      </c>
      <c r="AF391" s="609" t="str">
        <f t="shared" si="87"/>
        <v/>
      </c>
      <c r="AG391" s="609" t="str">
        <f t="shared" si="87"/>
        <v/>
      </c>
      <c r="AH391" s="609" t="str">
        <f t="shared" si="87"/>
        <v/>
      </c>
      <c r="AI391" s="609" t="str">
        <f t="shared" si="87"/>
        <v/>
      </c>
      <c r="AJ391" s="609" t="str">
        <f t="shared" si="87"/>
        <v/>
      </c>
      <c r="AK391" s="609" t="str">
        <f t="shared" si="87"/>
        <v/>
      </c>
      <c r="AL391" s="609" t="str">
        <f t="shared" si="87"/>
        <v/>
      </c>
      <c r="AM391" s="609" t="str">
        <f t="shared" si="86"/>
        <v/>
      </c>
      <c r="AN391" s="609" t="str">
        <f t="shared" si="86"/>
        <v/>
      </c>
      <c r="AO391" s="609" t="str">
        <f t="shared" si="86"/>
        <v/>
      </c>
      <c r="AP391" s="609" t="str">
        <f t="shared" si="86"/>
        <v/>
      </c>
      <c r="AQ391" s="609" t="str">
        <f t="shared" si="86"/>
        <v/>
      </c>
      <c r="AR391" s="609" t="str">
        <f t="shared" si="86"/>
        <v/>
      </c>
      <c r="AS391" s="609" t="str">
        <f t="shared" si="86"/>
        <v/>
      </c>
      <c r="AT391" s="609" t="str">
        <f t="shared" si="86"/>
        <v/>
      </c>
      <c r="AU391" s="609" t="str">
        <f t="shared" si="86"/>
        <v/>
      </c>
      <c r="AV391" s="609" t="str">
        <f t="shared" si="86"/>
        <v/>
      </c>
      <c r="AW391" s="609" t="str">
        <f t="shared" si="86"/>
        <v/>
      </c>
      <c r="AX391" s="609" t="str">
        <f t="shared" si="86"/>
        <v/>
      </c>
      <c r="AY391" s="609" t="str">
        <f t="shared" si="86"/>
        <v/>
      </c>
      <c r="AZ391" s="609" t="str">
        <f t="shared" si="86"/>
        <v/>
      </c>
      <c r="BA391" s="609" t="str">
        <f t="shared" si="86"/>
        <v/>
      </c>
      <c r="BB391" s="609" t="str">
        <f t="shared" si="86"/>
        <v/>
      </c>
      <c r="BC391" s="609" t="str">
        <f t="shared" si="85"/>
        <v/>
      </c>
      <c r="BD391" s="609" t="str">
        <f t="shared" si="85"/>
        <v/>
      </c>
      <c r="BE391" s="609" t="str">
        <f t="shared" si="85"/>
        <v/>
      </c>
      <c r="BF391" s="609" t="str">
        <f t="shared" si="85"/>
        <v/>
      </c>
      <c r="BG391" s="609" t="str">
        <f t="shared" si="85"/>
        <v/>
      </c>
    </row>
    <row r="392" spans="2:59" x14ac:dyDescent="0.25">
      <c r="B392" s="654">
        <v>386</v>
      </c>
      <c r="C392" s="654"/>
      <c r="D392" s="654"/>
      <c r="E392" s="655"/>
      <c r="F392" s="654"/>
      <c r="H392" s="609" t="str">
        <f t="shared" si="88"/>
        <v/>
      </c>
      <c r="I392" s="609" t="str">
        <f t="shared" si="88"/>
        <v/>
      </c>
      <c r="J392" s="609" t="str">
        <f t="shared" si="88"/>
        <v/>
      </c>
      <c r="K392" s="609" t="str">
        <f t="shared" si="88"/>
        <v/>
      </c>
      <c r="L392" s="609" t="str">
        <f t="shared" si="88"/>
        <v/>
      </c>
      <c r="M392" s="609" t="str">
        <f t="shared" si="88"/>
        <v/>
      </c>
      <c r="N392" s="609" t="str">
        <f t="shared" si="88"/>
        <v/>
      </c>
      <c r="O392" s="609" t="str">
        <f t="shared" si="88"/>
        <v/>
      </c>
      <c r="P392" s="609" t="str">
        <f t="shared" si="88"/>
        <v/>
      </c>
      <c r="Q392" s="609" t="str">
        <f t="shared" si="88"/>
        <v/>
      </c>
      <c r="R392" s="609" t="str">
        <f t="shared" si="88"/>
        <v/>
      </c>
      <c r="S392" s="609" t="str">
        <f t="shared" si="88"/>
        <v/>
      </c>
      <c r="T392" s="609" t="str">
        <f t="shared" si="88"/>
        <v/>
      </c>
      <c r="U392" s="609" t="str">
        <f t="shared" si="88"/>
        <v/>
      </c>
      <c r="V392" s="609" t="str">
        <f t="shared" si="88"/>
        <v/>
      </c>
      <c r="W392" s="609" t="str">
        <f t="shared" si="88"/>
        <v/>
      </c>
      <c r="X392" s="609" t="str">
        <f t="shared" si="87"/>
        <v/>
      </c>
      <c r="Y392" s="609" t="str">
        <f t="shared" si="87"/>
        <v/>
      </c>
      <c r="Z392" s="609" t="str">
        <f t="shared" si="87"/>
        <v/>
      </c>
      <c r="AA392" s="609" t="str">
        <f t="shared" si="87"/>
        <v/>
      </c>
      <c r="AB392" s="609" t="str">
        <f t="shared" si="87"/>
        <v/>
      </c>
      <c r="AC392" s="609" t="str">
        <f t="shared" si="87"/>
        <v/>
      </c>
      <c r="AD392" s="609" t="str">
        <f t="shared" si="87"/>
        <v/>
      </c>
      <c r="AE392" s="609" t="str">
        <f t="shared" si="87"/>
        <v/>
      </c>
      <c r="AF392" s="609" t="str">
        <f t="shared" si="87"/>
        <v/>
      </c>
      <c r="AG392" s="609" t="str">
        <f t="shared" si="87"/>
        <v/>
      </c>
      <c r="AH392" s="609" t="str">
        <f t="shared" si="87"/>
        <v/>
      </c>
      <c r="AI392" s="609" t="str">
        <f t="shared" si="87"/>
        <v/>
      </c>
      <c r="AJ392" s="609" t="str">
        <f t="shared" si="87"/>
        <v/>
      </c>
      <c r="AK392" s="609" t="str">
        <f t="shared" si="87"/>
        <v/>
      </c>
      <c r="AL392" s="609" t="str">
        <f t="shared" si="87"/>
        <v/>
      </c>
      <c r="AM392" s="609" t="str">
        <f t="shared" si="86"/>
        <v/>
      </c>
      <c r="AN392" s="609" t="str">
        <f t="shared" si="86"/>
        <v/>
      </c>
      <c r="AO392" s="609" t="str">
        <f t="shared" si="86"/>
        <v/>
      </c>
      <c r="AP392" s="609" t="str">
        <f t="shared" si="86"/>
        <v/>
      </c>
      <c r="AQ392" s="609" t="str">
        <f t="shared" si="86"/>
        <v/>
      </c>
      <c r="AR392" s="609" t="str">
        <f t="shared" si="86"/>
        <v/>
      </c>
      <c r="AS392" s="609" t="str">
        <f t="shared" si="86"/>
        <v/>
      </c>
      <c r="AT392" s="609" t="str">
        <f t="shared" si="86"/>
        <v/>
      </c>
      <c r="AU392" s="609" t="str">
        <f t="shared" si="86"/>
        <v/>
      </c>
      <c r="AV392" s="609" t="str">
        <f t="shared" si="86"/>
        <v/>
      </c>
      <c r="AW392" s="609" t="str">
        <f t="shared" si="86"/>
        <v/>
      </c>
      <c r="AX392" s="609" t="str">
        <f t="shared" si="86"/>
        <v/>
      </c>
      <c r="AY392" s="609" t="str">
        <f t="shared" si="86"/>
        <v/>
      </c>
      <c r="AZ392" s="609" t="str">
        <f t="shared" si="86"/>
        <v/>
      </c>
      <c r="BA392" s="609" t="str">
        <f t="shared" si="86"/>
        <v/>
      </c>
      <c r="BB392" s="609" t="str">
        <f t="shared" si="86"/>
        <v/>
      </c>
      <c r="BC392" s="609" t="str">
        <f t="shared" si="85"/>
        <v/>
      </c>
      <c r="BD392" s="609" t="str">
        <f t="shared" si="85"/>
        <v/>
      </c>
      <c r="BE392" s="609" t="str">
        <f t="shared" si="85"/>
        <v/>
      </c>
      <c r="BF392" s="609" t="str">
        <f t="shared" si="85"/>
        <v/>
      </c>
      <c r="BG392" s="609" t="str">
        <f t="shared" si="85"/>
        <v/>
      </c>
    </row>
    <row r="393" spans="2:59" x14ac:dyDescent="0.25">
      <c r="B393" s="654">
        <v>387</v>
      </c>
      <c r="C393" s="654"/>
      <c r="D393" s="654"/>
      <c r="E393" s="655"/>
      <c r="F393" s="654"/>
      <c r="H393" s="609" t="str">
        <f t="shared" si="88"/>
        <v/>
      </c>
      <c r="I393" s="609" t="str">
        <f t="shared" si="88"/>
        <v/>
      </c>
      <c r="J393" s="609" t="str">
        <f t="shared" si="88"/>
        <v/>
      </c>
      <c r="K393" s="609" t="str">
        <f t="shared" si="88"/>
        <v/>
      </c>
      <c r="L393" s="609" t="str">
        <f t="shared" si="88"/>
        <v/>
      </c>
      <c r="M393" s="609" t="str">
        <f t="shared" si="88"/>
        <v/>
      </c>
      <c r="N393" s="609" t="str">
        <f t="shared" si="88"/>
        <v/>
      </c>
      <c r="O393" s="609" t="str">
        <f t="shared" si="88"/>
        <v/>
      </c>
      <c r="P393" s="609" t="str">
        <f t="shared" si="88"/>
        <v/>
      </c>
      <c r="Q393" s="609" t="str">
        <f t="shared" si="88"/>
        <v/>
      </c>
      <c r="R393" s="609" t="str">
        <f t="shared" si="88"/>
        <v/>
      </c>
      <c r="S393" s="609" t="str">
        <f t="shared" si="88"/>
        <v/>
      </c>
      <c r="T393" s="609" t="str">
        <f t="shared" si="88"/>
        <v/>
      </c>
      <c r="U393" s="609" t="str">
        <f t="shared" si="88"/>
        <v/>
      </c>
      <c r="V393" s="609" t="str">
        <f t="shared" si="88"/>
        <v/>
      </c>
      <c r="W393" s="609" t="str">
        <f t="shared" si="88"/>
        <v/>
      </c>
      <c r="X393" s="609" t="str">
        <f t="shared" si="87"/>
        <v/>
      </c>
      <c r="Y393" s="609" t="str">
        <f t="shared" si="87"/>
        <v/>
      </c>
      <c r="Z393" s="609" t="str">
        <f t="shared" si="87"/>
        <v/>
      </c>
      <c r="AA393" s="609" t="str">
        <f t="shared" si="87"/>
        <v/>
      </c>
      <c r="AB393" s="609" t="str">
        <f t="shared" si="87"/>
        <v/>
      </c>
      <c r="AC393" s="609" t="str">
        <f t="shared" si="87"/>
        <v/>
      </c>
      <c r="AD393" s="609" t="str">
        <f t="shared" si="87"/>
        <v/>
      </c>
      <c r="AE393" s="609" t="str">
        <f t="shared" si="87"/>
        <v/>
      </c>
      <c r="AF393" s="609" t="str">
        <f t="shared" si="87"/>
        <v/>
      </c>
      <c r="AG393" s="609" t="str">
        <f t="shared" si="87"/>
        <v/>
      </c>
      <c r="AH393" s="609" t="str">
        <f t="shared" si="87"/>
        <v/>
      </c>
      <c r="AI393" s="609" t="str">
        <f t="shared" si="87"/>
        <v/>
      </c>
      <c r="AJ393" s="609" t="str">
        <f t="shared" si="87"/>
        <v/>
      </c>
      <c r="AK393" s="609" t="str">
        <f t="shared" si="87"/>
        <v/>
      </c>
      <c r="AL393" s="609" t="str">
        <f t="shared" si="87"/>
        <v/>
      </c>
      <c r="AM393" s="609" t="str">
        <f t="shared" si="86"/>
        <v/>
      </c>
      <c r="AN393" s="609" t="str">
        <f t="shared" si="86"/>
        <v/>
      </c>
      <c r="AO393" s="609" t="str">
        <f t="shared" si="86"/>
        <v/>
      </c>
      <c r="AP393" s="609" t="str">
        <f t="shared" si="86"/>
        <v/>
      </c>
      <c r="AQ393" s="609" t="str">
        <f t="shared" si="86"/>
        <v/>
      </c>
      <c r="AR393" s="609" t="str">
        <f t="shared" si="86"/>
        <v/>
      </c>
      <c r="AS393" s="609" t="str">
        <f t="shared" si="86"/>
        <v/>
      </c>
      <c r="AT393" s="609" t="str">
        <f t="shared" si="86"/>
        <v/>
      </c>
      <c r="AU393" s="609" t="str">
        <f t="shared" si="86"/>
        <v/>
      </c>
      <c r="AV393" s="609" t="str">
        <f t="shared" si="86"/>
        <v/>
      </c>
      <c r="AW393" s="609" t="str">
        <f t="shared" si="86"/>
        <v/>
      </c>
      <c r="AX393" s="609" t="str">
        <f t="shared" si="86"/>
        <v/>
      </c>
      <c r="AY393" s="609" t="str">
        <f t="shared" si="86"/>
        <v/>
      </c>
      <c r="AZ393" s="609" t="str">
        <f t="shared" si="86"/>
        <v/>
      </c>
      <c r="BA393" s="609" t="str">
        <f t="shared" si="86"/>
        <v/>
      </c>
      <c r="BB393" s="609" t="str">
        <f t="shared" si="86"/>
        <v/>
      </c>
      <c r="BC393" s="609" t="str">
        <f t="shared" si="85"/>
        <v/>
      </c>
      <c r="BD393" s="609" t="str">
        <f t="shared" si="85"/>
        <v/>
      </c>
      <c r="BE393" s="609" t="str">
        <f t="shared" si="85"/>
        <v/>
      </c>
      <c r="BF393" s="609" t="str">
        <f t="shared" si="85"/>
        <v/>
      </c>
      <c r="BG393" s="609" t="str">
        <f t="shared" si="85"/>
        <v/>
      </c>
    </row>
    <row r="394" spans="2:59" x14ac:dyDescent="0.25">
      <c r="B394" s="654">
        <v>388</v>
      </c>
      <c r="C394" s="654"/>
      <c r="D394" s="654"/>
      <c r="E394" s="655"/>
      <c r="F394" s="654"/>
      <c r="H394" s="609" t="str">
        <f t="shared" si="88"/>
        <v/>
      </c>
      <c r="I394" s="609" t="str">
        <f t="shared" si="88"/>
        <v/>
      </c>
      <c r="J394" s="609" t="str">
        <f t="shared" si="88"/>
        <v/>
      </c>
      <c r="K394" s="609" t="str">
        <f t="shared" si="88"/>
        <v/>
      </c>
      <c r="L394" s="609" t="str">
        <f t="shared" si="88"/>
        <v/>
      </c>
      <c r="M394" s="609" t="str">
        <f t="shared" si="88"/>
        <v/>
      </c>
      <c r="N394" s="609" t="str">
        <f t="shared" si="88"/>
        <v/>
      </c>
      <c r="O394" s="609" t="str">
        <f t="shared" si="88"/>
        <v/>
      </c>
      <c r="P394" s="609" t="str">
        <f t="shared" si="88"/>
        <v/>
      </c>
      <c r="Q394" s="609" t="str">
        <f t="shared" si="88"/>
        <v/>
      </c>
      <c r="R394" s="609" t="str">
        <f t="shared" si="88"/>
        <v/>
      </c>
      <c r="S394" s="609" t="str">
        <f t="shared" si="88"/>
        <v/>
      </c>
      <c r="T394" s="609" t="str">
        <f t="shared" si="88"/>
        <v/>
      </c>
      <c r="U394" s="609" t="str">
        <f t="shared" si="88"/>
        <v/>
      </c>
      <c r="V394" s="609" t="str">
        <f t="shared" si="88"/>
        <v/>
      </c>
      <c r="W394" s="609" t="str">
        <f t="shared" si="88"/>
        <v/>
      </c>
      <c r="X394" s="609" t="str">
        <f t="shared" si="87"/>
        <v/>
      </c>
      <c r="Y394" s="609" t="str">
        <f t="shared" si="87"/>
        <v/>
      </c>
      <c r="Z394" s="609" t="str">
        <f t="shared" si="87"/>
        <v/>
      </c>
      <c r="AA394" s="609" t="str">
        <f t="shared" si="87"/>
        <v/>
      </c>
      <c r="AB394" s="609" t="str">
        <f t="shared" si="87"/>
        <v/>
      </c>
      <c r="AC394" s="609" t="str">
        <f t="shared" si="87"/>
        <v/>
      </c>
      <c r="AD394" s="609" t="str">
        <f t="shared" si="87"/>
        <v/>
      </c>
      <c r="AE394" s="609" t="str">
        <f t="shared" si="87"/>
        <v/>
      </c>
      <c r="AF394" s="609" t="str">
        <f t="shared" si="87"/>
        <v/>
      </c>
      <c r="AG394" s="609" t="str">
        <f t="shared" si="87"/>
        <v/>
      </c>
      <c r="AH394" s="609" t="str">
        <f t="shared" si="87"/>
        <v/>
      </c>
      <c r="AI394" s="609" t="str">
        <f t="shared" si="87"/>
        <v/>
      </c>
      <c r="AJ394" s="609" t="str">
        <f t="shared" si="87"/>
        <v/>
      </c>
      <c r="AK394" s="609" t="str">
        <f t="shared" si="87"/>
        <v/>
      </c>
      <c r="AL394" s="609" t="str">
        <f t="shared" si="87"/>
        <v/>
      </c>
      <c r="AM394" s="609" t="str">
        <f t="shared" si="86"/>
        <v/>
      </c>
      <c r="AN394" s="609" t="str">
        <f t="shared" si="86"/>
        <v/>
      </c>
      <c r="AO394" s="609" t="str">
        <f t="shared" si="86"/>
        <v/>
      </c>
      <c r="AP394" s="609" t="str">
        <f t="shared" si="86"/>
        <v/>
      </c>
      <c r="AQ394" s="609" t="str">
        <f t="shared" si="86"/>
        <v/>
      </c>
      <c r="AR394" s="609" t="str">
        <f t="shared" si="86"/>
        <v/>
      </c>
      <c r="AS394" s="609" t="str">
        <f t="shared" si="86"/>
        <v/>
      </c>
      <c r="AT394" s="609" t="str">
        <f t="shared" si="86"/>
        <v/>
      </c>
      <c r="AU394" s="609" t="str">
        <f t="shared" si="86"/>
        <v/>
      </c>
      <c r="AV394" s="609" t="str">
        <f t="shared" si="86"/>
        <v/>
      </c>
      <c r="AW394" s="609" t="str">
        <f t="shared" si="86"/>
        <v/>
      </c>
      <c r="AX394" s="609" t="str">
        <f t="shared" si="86"/>
        <v/>
      </c>
      <c r="AY394" s="609" t="str">
        <f t="shared" si="86"/>
        <v/>
      </c>
      <c r="AZ394" s="609" t="str">
        <f t="shared" si="86"/>
        <v/>
      </c>
      <c r="BA394" s="609" t="str">
        <f t="shared" si="86"/>
        <v/>
      </c>
      <c r="BB394" s="609" t="str">
        <f t="shared" ref="BB394:BG409" si="89">IF($D394=BB$6,$B394&amp;", ","")</f>
        <v/>
      </c>
      <c r="BC394" s="609" t="str">
        <f t="shared" si="89"/>
        <v/>
      </c>
      <c r="BD394" s="609" t="str">
        <f t="shared" si="89"/>
        <v/>
      </c>
      <c r="BE394" s="609" t="str">
        <f t="shared" si="89"/>
        <v/>
      </c>
      <c r="BF394" s="609" t="str">
        <f t="shared" si="89"/>
        <v/>
      </c>
      <c r="BG394" s="609" t="str">
        <f t="shared" si="89"/>
        <v/>
      </c>
    </row>
    <row r="395" spans="2:59" x14ac:dyDescent="0.25">
      <c r="B395" s="654">
        <v>389</v>
      </c>
      <c r="C395" s="654"/>
      <c r="D395" s="654"/>
      <c r="E395" s="655"/>
      <c r="F395" s="654"/>
      <c r="H395" s="609" t="str">
        <f t="shared" si="88"/>
        <v/>
      </c>
      <c r="I395" s="609" t="str">
        <f t="shared" si="88"/>
        <v/>
      </c>
      <c r="J395" s="609" t="str">
        <f t="shared" si="88"/>
        <v/>
      </c>
      <c r="K395" s="609" t="str">
        <f t="shared" si="88"/>
        <v/>
      </c>
      <c r="L395" s="609" t="str">
        <f t="shared" si="88"/>
        <v/>
      </c>
      <c r="M395" s="609" t="str">
        <f t="shared" si="88"/>
        <v/>
      </c>
      <c r="N395" s="609" t="str">
        <f t="shared" si="88"/>
        <v/>
      </c>
      <c r="O395" s="609" t="str">
        <f t="shared" si="88"/>
        <v/>
      </c>
      <c r="P395" s="609" t="str">
        <f t="shared" si="88"/>
        <v/>
      </c>
      <c r="Q395" s="609" t="str">
        <f t="shared" si="88"/>
        <v/>
      </c>
      <c r="R395" s="609" t="str">
        <f t="shared" si="88"/>
        <v/>
      </c>
      <c r="S395" s="609" t="str">
        <f t="shared" si="88"/>
        <v/>
      </c>
      <c r="T395" s="609" t="str">
        <f t="shared" si="88"/>
        <v/>
      </c>
      <c r="U395" s="609" t="str">
        <f t="shared" si="88"/>
        <v/>
      </c>
      <c r="V395" s="609" t="str">
        <f t="shared" si="88"/>
        <v/>
      </c>
      <c r="W395" s="609" t="str">
        <f t="shared" si="88"/>
        <v/>
      </c>
      <c r="X395" s="609" t="str">
        <f t="shared" si="87"/>
        <v/>
      </c>
      <c r="Y395" s="609" t="str">
        <f t="shared" si="87"/>
        <v/>
      </c>
      <c r="Z395" s="609" t="str">
        <f t="shared" si="87"/>
        <v/>
      </c>
      <c r="AA395" s="609" t="str">
        <f t="shared" si="87"/>
        <v/>
      </c>
      <c r="AB395" s="609" t="str">
        <f t="shared" si="87"/>
        <v/>
      </c>
      <c r="AC395" s="609" t="str">
        <f t="shared" si="87"/>
        <v/>
      </c>
      <c r="AD395" s="609" t="str">
        <f t="shared" si="87"/>
        <v/>
      </c>
      <c r="AE395" s="609" t="str">
        <f t="shared" si="87"/>
        <v/>
      </c>
      <c r="AF395" s="609" t="str">
        <f t="shared" si="87"/>
        <v/>
      </c>
      <c r="AG395" s="609" t="str">
        <f t="shared" si="87"/>
        <v/>
      </c>
      <c r="AH395" s="609" t="str">
        <f t="shared" si="87"/>
        <v/>
      </c>
      <c r="AI395" s="609" t="str">
        <f t="shared" si="87"/>
        <v/>
      </c>
      <c r="AJ395" s="609" t="str">
        <f t="shared" si="87"/>
        <v/>
      </c>
      <c r="AK395" s="609" t="str">
        <f t="shared" si="87"/>
        <v/>
      </c>
      <c r="AL395" s="609" t="str">
        <f t="shared" si="87"/>
        <v/>
      </c>
      <c r="AM395" s="609" t="str">
        <f t="shared" ref="AM395:BB410" si="90">IF($D395=AM$6,$B395&amp;", ","")</f>
        <v/>
      </c>
      <c r="AN395" s="609" t="str">
        <f t="shared" si="90"/>
        <v/>
      </c>
      <c r="AO395" s="609" t="str">
        <f t="shared" si="90"/>
        <v/>
      </c>
      <c r="AP395" s="609" t="str">
        <f t="shared" si="90"/>
        <v/>
      </c>
      <c r="AQ395" s="609" t="str">
        <f t="shared" si="90"/>
        <v/>
      </c>
      <c r="AR395" s="609" t="str">
        <f t="shared" si="90"/>
        <v/>
      </c>
      <c r="AS395" s="609" t="str">
        <f t="shared" si="90"/>
        <v/>
      </c>
      <c r="AT395" s="609" t="str">
        <f t="shared" si="90"/>
        <v/>
      </c>
      <c r="AU395" s="609" t="str">
        <f t="shared" si="90"/>
        <v/>
      </c>
      <c r="AV395" s="609" t="str">
        <f t="shared" si="90"/>
        <v/>
      </c>
      <c r="AW395" s="609" t="str">
        <f t="shared" si="90"/>
        <v/>
      </c>
      <c r="AX395" s="609" t="str">
        <f t="shared" si="90"/>
        <v/>
      </c>
      <c r="AY395" s="609" t="str">
        <f t="shared" si="90"/>
        <v/>
      </c>
      <c r="AZ395" s="609" t="str">
        <f t="shared" si="90"/>
        <v/>
      </c>
      <c r="BA395" s="609" t="str">
        <f t="shared" si="90"/>
        <v/>
      </c>
      <c r="BB395" s="609" t="str">
        <f t="shared" si="90"/>
        <v/>
      </c>
      <c r="BC395" s="609" t="str">
        <f t="shared" si="89"/>
        <v/>
      </c>
      <c r="BD395" s="609" t="str">
        <f t="shared" si="89"/>
        <v/>
      </c>
      <c r="BE395" s="609" t="str">
        <f t="shared" si="89"/>
        <v/>
      </c>
      <c r="BF395" s="609" t="str">
        <f t="shared" si="89"/>
        <v/>
      </c>
      <c r="BG395" s="609" t="str">
        <f t="shared" si="89"/>
        <v/>
      </c>
    </row>
    <row r="396" spans="2:59" x14ac:dyDescent="0.25">
      <c r="B396" s="654">
        <v>390</v>
      </c>
      <c r="C396" s="654"/>
      <c r="D396" s="654"/>
      <c r="E396" s="655"/>
      <c r="F396" s="654"/>
      <c r="H396" s="609" t="str">
        <f t="shared" si="88"/>
        <v/>
      </c>
      <c r="I396" s="609" t="str">
        <f t="shared" si="88"/>
        <v/>
      </c>
      <c r="J396" s="609" t="str">
        <f t="shared" si="88"/>
        <v/>
      </c>
      <c r="K396" s="609" t="str">
        <f t="shared" si="88"/>
        <v/>
      </c>
      <c r="L396" s="609" t="str">
        <f t="shared" si="88"/>
        <v/>
      </c>
      <c r="M396" s="609" t="str">
        <f t="shared" si="88"/>
        <v/>
      </c>
      <c r="N396" s="609" t="str">
        <f t="shared" si="88"/>
        <v/>
      </c>
      <c r="O396" s="609" t="str">
        <f t="shared" si="88"/>
        <v/>
      </c>
      <c r="P396" s="609" t="str">
        <f t="shared" si="88"/>
        <v/>
      </c>
      <c r="Q396" s="609" t="str">
        <f t="shared" si="88"/>
        <v/>
      </c>
      <c r="R396" s="609" t="str">
        <f t="shared" si="88"/>
        <v/>
      </c>
      <c r="S396" s="609" t="str">
        <f t="shared" si="88"/>
        <v/>
      </c>
      <c r="T396" s="609" t="str">
        <f t="shared" si="88"/>
        <v/>
      </c>
      <c r="U396" s="609" t="str">
        <f t="shared" si="88"/>
        <v/>
      </c>
      <c r="V396" s="609" t="str">
        <f t="shared" si="88"/>
        <v/>
      </c>
      <c r="W396" s="609" t="str">
        <f t="shared" si="88"/>
        <v/>
      </c>
      <c r="X396" s="609" t="str">
        <f t="shared" si="87"/>
        <v/>
      </c>
      <c r="Y396" s="609" t="str">
        <f t="shared" si="87"/>
        <v/>
      </c>
      <c r="Z396" s="609" t="str">
        <f t="shared" si="87"/>
        <v/>
      </c>
      <c r="AA396" s="609" t="str">
        <f t="shared" si="87"/>
        <v/>
      </c>
      <c r="AB396" s="609" t="str">
        <f t="shared" si="87"/>
        <v/>
      </c>
      <c r="AC396" s="609" t="str">
        <f t="shared" si="87"/>
        <v/>
      </c>
      <c r="AD396" s="609" t="str">
        <f t="shared" si="87"/>
        <v/>
      </c>
      <c r="AE396" s="609" t="str">
        <f t="shared" si="87"/>
        <v/>
      </c>
      <c r="AF396" s="609" t="str">
        <f t="shared" si="87"/>
        <v/>
      </c>
      <c r="AG396" s="609" t="str">
        <f t="shared" si="87"/>
        <v/>
      </c>
      <c r="AH396" s="609" t="str">
        <f t="shared" si="87"/>
        <v/>
      </c>
      <c r="AI396" s="609" t="str">
        <f t="shared" si="87"/>
        <v/>
      </c>
      <c r="AJ396" s="609" t="str">
        <f t="shared" si="87"/>
        <v/>
      </c>
      <c r="AK396" s="609" t="str">
        <f t="shared" si="87"/>
        <v/>
      </c>
      <c r="AL396" s="609" t="str">
        <f t="shared" si="87"/>
        <v/>
      </c>
      <c r="AM396" s="609" t="str">
        <f t="shared" si="90"/>
        <v/>
      </c>
      <c r="AN396" s="609" t="str">
        <f t="shared" si="90"/>
        <v/>
      </c>
      <c r="AO396" s="609" t="str">
        <f t="shared" si="90"/>
        <v/>
      </c>
      <c r="AP396" s="609" t="str">
        <f t="shared" si="90"/>
        <v/>
      </c>
      <c r="AQ396" s="609" t="str">
        <f t="shared" si="90"/>
        <v/>
      </c>
      <c r="AR396" s="609" t="str">
        <f t="shared" si="90"/>
        <v/>
      </c>
      <c r="AS396" s="609" t="str">
        <f t="shared" si="90"/>
        <v/>
      </c>
      <c r="AT396" s="609" t="str">
        <f t="shared" si="90"/>
        <v/>
      </c>
      <c r="AU396" s="609" t="str">
        <f t="shared" si="90"/>
        <v/>
      </c>
      <c r="AV396" s="609" t="str">
        <f t="shared" si="90"/>
        <v/>
      </c>
      <c r="AW396" s="609" t="str">
        <f t="shared" si="90"/>
        <v/>
      </c>
      <c r="AX396" s="609" t="str">
        <f t="shared" si="90"/>
        <v/>
      </c>
      <c r="AY396" s="609" t="str">
        <f t="shared" si="90"/>
        <v/>
      </c>
      <c r="AZ396" s="609" t="str">
        <f t="shared" si="90"/>
        <v/>
      </c>
      <c r="BA396" s="609" t="str">
        <f t="shared" si="90"/>
        <v/>
      </c>
      <c r="BB396" s="609" t="str">
        <f t="shared" si="90"/>
        <v/>
      </c>
      <c r="BC396" s="609" t="str">
        <f t="shared" si="89"/>
        <v/>
      </c>
      <c r="BD396" s="609" t="str">
        <f t="shared" si="89"/>
        <v/>
      </c>
      <c r="BE396" s="609" t="str">
        <f t="shared" si="89"/>
        <v/>
      </c>
      <c r="BF396" s="609" t="str">
        <f t="shared" si="89"/>
        <v/>
      </c>
      <c r="BG396" s="609" t="str">
        <f t="shared" si="89"/>
        <v/>
      </c>
    </row>
    <row r="397" spans="2:59" x14ac:dyDescent="0.25">
      <c r="B397" s="654">
        <v>391</v>
      </c>
      <c r="C397" s="654"/>
      <c r="D397" s="654"/>
      <c r="E397" s="655"/>
      <c r="F397" s="654"/>
      <c r="H397" s="609" t="str">
        <f t="shared" si="88"/>
        <v/>
      </c>
      <c r="I397" s="609" t="str">
        <f t="shared" si="88"/>
        <v/>
      </c>
      <c r="J397" s="609" t="str">
        <f t="shared" si="88"/>
        <v/>
      </c>
      <c r="K397" s="609" t="str">
        <f t="shared" si="88"/>
        <v/>
      </c>
      <c r="L397" s="609" t="str">
        <f t="shared" si="88"/>
        <v/>
      </c>
      <c r="M397" s="609" t="str">
        <f t="shared" si="88"/>
        <v/>
      </c>
      <c r="N397" s="609" t="str">
        <f t="shared" si="88"/>
        <v/>
      </c>
      <c r="O397" s="609" t="str">
        <f t="shared" si="88"/>
        <v/>
      </c>
      <c r="P397" s="609" t="str">
        <f t="shared" si="88"/>
        <v/>
      </c>
      <c r="Q397" s="609" t="str">
        <f t="shared" si="88"/>
        <v/>
      </c>
      <c r="R397" s="609" t="str">
        <f t="shared" si="88"/>
        <v/>
      </c>
      <c r="S397" s="609" t="str">
        <f t="shared" si="88"/>
        <v/>
      </c>
      <c r="T397" s="609" t="str">
        <f t="shared" si="88"/>
        <v/>
      </c>
      <c r="U397" s="609" t="str">
        <f t="shared" si="88"/>
        <v/>
      </c>
      <c r="V397" s="609" t="str">
        <f t="shared" si="88"/>
        <v/>
      </c>
      <c r="W397" s="609" t="str">
        <f t="shared" si="88"/>
        <v/>
      </c>
      <c r="X397" s="609" t="str">
        <f t="shared" si="87"/>
        <v/>
      </c>
      <c r="Y397" s="609" t="str">
        <f t="shared" si="87"/>
        <v/>
      </c>
      <c r="Z397" s="609" t="str">
        <f t="shared" si="87"/>
        <v/>
      </c>
      <c r="AA397" s="609" t="str">
        <f t="shared" si="87"/>
        <v/>
      </c>
      <c r="AB397" s="609" t="str">
        <f t="shared" si="87"/>
        <v/>
      </c>
      <c r="AC397" s="609" t="str">
        <f t="shared" si="87"/>
        <v/>
      </c>
      <c r="AD397" s="609" t="str">
        <f t="shared" si="87"/>
        <v/>
      </c>
      <c r="AE397" s="609" t="str">
        <f t="shared" si="87"/>
        <v/>
      </c>
      <c r="AF397" s="609" t="str">
        <f t="shared" si="87"/>
        <v/>
      </c>
      <c r="AG397" s="609" t="str">
        <f t="shared" si="87"/>
        <v/>
      </c>
      <c r="AH397" s="609" t="str">
        <f t="shared" si="87"/>
        <v/>
      </c>
      <c r="AI397" s="609" t="str">
        <f t="shared" si="87"/>
        <v/>
      </c>
      <c r="AJ397" s="609" t="str">
        <f t="shared" si="87"/>
        <v/>
      </c>
      <c r="AK397" s="609" t="str">
        <f t="shared" si="87"/>
        <v/>
      </c>
      <c r="AL397" s="609" t="str">
        <f t="shared" si="87"/>
        <v/>
      </c>
      <c r="AM397" s="609" t="str">
        <f t="shared" si="90"/>
        <v/>
      </c>
      <c r="AN397" s="609" t="str">
        <f t="shared" si="90"/>
        <v/>
      </c>
      <c r="AO397" s="609" t="str">
        <f t="shared" si="90"/>
        <v/>
      </c>
      <c r="AP397" s="609" t="str">
        <f t="shared" si="90"/>
        <v/>
      </c>
      <c r="AQ397" s="609" t="str">
        <f t="shared" si="90"/>
        <v/>
      </c>
      <c r="AR397" s="609" t="str">
        <f t="shared" si="90"/>
        <v/>
      </c>
      <c r="AS397" s="609" t="str">
        <f t="shared" si="90"/>
        <v/>
      </c>
      <c r="AT397" s="609" t="str">
        <f t="shared" si="90"/>
        <v/>
      </c>
      <c r="AU397" s="609" t="str">
        <f t="shared" si="90"/>
        <v/>
      </c>
      <c r="AV397" s="609" t="str">
        <f t="shared" si="90"/>
        <v/>
      </c>
      <c r="AW397" s="609" t="str">
        <f t="shared" si="90"/>
        <v/>
      </c>
      <c r="AX397" s="609" t="str">
        <f t="shared" si="90"/>
        <v/>
      </c>
      <c r="AY397" s="609" t="str">
        <f t="shared" si="90"/>
        <v/>
      </c>
      <c r="AZ397" s="609" t="str">
        <f t="shared" si="90"/>
        <v/>
      </c>
      <c r="BA397" s="609" t="str">
        <f t="shared" si="90"/>
        <v/>
      </c>
      <c r="BB397" s="609" t="str">
        <f t="shared" si="90"/>
        <v/>
      </c>
      <c r="BC397" s="609" t="str">
        <f t="shared" si="89"/>
        <v/>
      </c>
      <c r="BD397" s="609" t="str">
        <f t="shared" si="89"/>
        <v/>
      </c>
      <c r="BE397" s="609" t="str">
        <f t="shared" si="89"/>
        <v/>
      </c>
      <c r="BF397" s="609" t="str">
        <f t="shared" si="89"/>
        <v/>
      </c>
      <c r="BG397" s="609" t="str">
        <f t="shared" si="89"/>
        <v/>
      </c>
    </row>
    <row r="398" spans="2:59" x14ac:dyDescent="0.25">
      <c r="B398" s="654">
        <v>392</v>
      </c>
      <c r="C398" s="654"/>
      <c r="D398" s="654"/>
      <c r="E398" s="655"/>
      <c r="F398" s="654"/>
      <c r="H398" s="609" t="str">
        <f t="shared" si="88"/>
        <v/>
      </c>
      <c r="I398" s="609" t="str">
        <f t="shared" si="88"/>
        <v/>
      </c>
      <c r="J398" s="609" t="str">
        <f t="shared" si="88"/>
        <v/>
      </c>
      <c r="K398" s="609" t="str">
        <f t="shared" si="88"/>
        <v/>
      </c>
      <c r="L398" s="609" t="str">
        <f t="shared" si="88"/>
        <v/>
      </c>
      <c r="M398" s="609" t="str">
        <f t="shared" si="88"/>
        <v/>
      </c>
      <c r="N398" s="609" t="str">
        <f t="shared" si="88"/>
        <v/>
      </c>
      <c r="O398" s="609" t="str">
        <f t="shared" si="88"/>
        <v/>
      </c>
      <c r="P398" s="609" t="str">
        <f t="shared" si="88"/>
        <v/>
      </c>
      <c r="Q398" s="609" t="str">
        <f t="shared" si="88"/>
        <v/>
      </c>
      <c r="R398" s="609" t="str">
        <f t="shared" si="88"/>
        <v/>
      </c>
      <c r="S398" s="609" t="str">
        <f t="shared" si="88"/>
        <v/>
      </c>
      <c r="T398" s="609" t="str">
        <f t="shared" si="88"/>
        <v/>
      </c>
      <c r="U398" s="609" t="str">
        <f t="shared" si="88"/>
        <v/>
      </c>
      <c r="V398" s="609" t="str">
        <f t="shared" si="88"/>
        <v/>
      </c>
      <c r="W398" s="609" t="str">
        <f t="shared" si="88"/>
        <v/>
      </c>
      <c r="X398" s="609" t="str">
        <f t="shared" si="87"/>
        <v/>
      </c>
      <c r="Y398" s="609" t="str">
        <f t="shared" si="87"/>
        <v/>
      </c>
      <c r="Z398" s="609" t="str">
        <f t="shared" si="87"/>
        <v/>
      </c>
      <c r="AA398" s="609" t="str">
        <f t="shared" si="87"/>
        <v/>
      </c>
      <c r="AB398" s="609" t="str">
        <f t="shared" si="87"/>
        <v/>
      </c>
      <c r="AC398" s="609" t="str">
        <f t="shared" si="87"/>
        <v/>
      </c>
      <c r="AD398" s="609" t="str">
        <f t="shared" si="87"/>
        <v/>
      </c>
      <c r="AE398" s="609" t="str">
        <f t="shared" si="87"/>
        <v/>
      </c>
      <c r="AF398" s="609" t="str">
        <f t="shared" si="87"/>
        <v/>
      </c>
      <c r="AG398" s="609" t="str">
        <f t="shared" si="87"/>
        <v/>
      </c>
      <c r="AH398" s="609" t="str">
        <f t="shared" si="87"/>
        <v/>
      </c>
      <c r="AI398" s="609" t="str">
        <f t="shared" si="87"/>
        <v/>
      </c>
      <c r="AJ398" s="609" t="str">
        <f t="shared" si="87"/>
        <v/>
      </c>
      <c r="AK398" s="609" t="str">
        <f t="shared" si="87"/>
        <v/>
      </c>
      <c r="AL398" s="609" t="str">
        <f t="shared" si="87"/>
        <v/>
      </c>
      <c r="AM398" s="609" t="str">
        <f t="shared" si="90"/>
        <v/>
      </c>
      <c r="AN398" s="609" t="str">
        <f t="shared" si="90"/>
        <v/>
      </c>
      <c r="AO398" s="609" t="str">
        <f t="shared" si="90"/>
        <v/>
      </c>
      <c r="AP398" s="609" t="str">
        <f t="shared" si="90"/>
        <v/>
      </c>
      <c r="AQ398" s="609" t="str">
        <f t="shared" si="90"/>
        <v/>
      </c>
      <c r="AR398" s="609" t="str">
        <f t="shared" si="90"/>
        <v/>
      </c>
      <c r="AS398" s="609" t="str">
        <f t="shared" si="90"/>
        <v/>
      </c>
      <c r="AT398" s="609" t="str">
        <f t="shared" si="90"/>
        <v/>
      </c>
      <c r="AU398" s="609" t="str">
        <f t="shared" si="90"/>
        <v/>
      </c>
      <c r="AV398" s="609" t="str">
        <f t="shared" si="90"/>
        <v/>
      </c>
      <c r="AW398" s="609" t="str">
        <f t="shared" si="90"/>
        <v/>
      </c>
      <c r="AX398" s="609" t="str">
        <f t="shared" si="90"/>
        <v/>
      </c>
      <c r="AY398" s="609" t="str">
        <f t="shared" si="90"/>
        <v/>
      </c>
      <c r="AZ398" s="609" t="str">
        <f t="shared" si="90"/>
        <v/>
      </c>
      <c r="BA398" s="609" t="str">
        <f t="shared" si="90"/>
        <v/>
      </c>
      <c r="BB398" s="609" t="str">
        <f t="shared" si="90"/>
        <v/>
      </c>
      <c r="BC398" s="609" t="str">
        <f t="shared" si="89"/>
        <v/>
      </c>
      <c r="BD398" s="609" t="str">
        <f t="shared" si="89"/>
        <v/>
      </c>
      <c r="BE398" s="609" t="str">
        <f t="shared" si="89"/>
        <v/>
      </c>
      <c r="BF398" s="609" t="str">
        <f t="shared" si="89"/>
        <v/>
      </c>
      <c r="BG398" s="609" t="str">
        <f t="shared" si="89"/>
        <v/>
      </c>
    </row>
    <row r="399" spans="2:59" x14ac:dyDescent="0.25">
      <c r="B399" s="654">
        <v>393</v>
      </c>
      <c r="C399" s="654"/>
      <c r="D399" s="654"/>
      <c r="E399" s="655"/>
      <c r="F399" s="654"/>
      <c r="H399" s="609" t="str">
        <f t="shared" si="88"/>
        <v/>
      </c>
      <c r="I399" s="609" t="str">
        <f t="shared" si="88"/>
        <v/>
      </c>
      <c r="J399" s="609" t="str">
        <f t="shared" si="88"/>
        <v/>
      </c>
      <c r="K399" s="609" t="str">
        <f t="shared" si="88"/>
        <v/>
      </c>
      <c r="L399" s="609" t="str">
        <f t="shared" si="88"/>
        <v/>
      </c>
      <c r="M399" s="609" t="str">
        <f t="shared" si="88"/>
        <v/>
      </c>
      <c r="N399" s="609" t="str">
        <f t="shared" si="88"/>
        <v/>
      </c>
      <c r="O399" s="609" t="str">
        <f t="shared" si="88"/>
        <v/>
      </c>
      <c r="P399" s="609" t="str">
        <f t="shared" si="88"/>
        <v/>
      </c>
      <c r="Q399" s="609" t="str">
        <f t="shared" si="88"/>
        <v/>
      </c>
      <c r="R399" s="609" t="str">
        <f t="shared" si="88"/>
        <v/>
      </c>
      <c r="S399" s="609" t="str">
        <f t="shared" si="88"/>
        <v/>
      </c>
      <c r="T399" s="609" t="str">
        <f t="shared" si="88"/>
        <v/>
      </c>
      <c r="U399" s="609" t="str">
        <f t="shared" si="88"/>
        <v/>
      </c>
      <c r="V399" s="609" t="str">
        <f t="shared" si="88"/>
        <v/>
      </c>
      <c r="W399" s="609" t="str">
        <f t="shared" si="88"/>
        <v/>
      </c>
      <c r="X399" s="609" t="str">
        <f t="shared" si="87"/>
        <v/>
      </c>
      <c r="Y399" s="609" t="str">
        <f t="shared" si="87"/>
        <v/>
      </c>
      <c r="Z399" s="609" t="str">
        <f t="shared" si="87"/>
        <v/>
      </c>
      <c r="AA399" s="609" t="str">
        <f t="shared" si="87"/>
        <v/>
      </c>
      <c r="AB399" s="609" t="str">
        <f t="shared" si="87"/>
        <v/>
      </c>
      <c r="AC399" s="609" t="str">
        <f t="shared" si="87"/>
        <v/>
      </c>
      <c r="AD399" s="609" t="str">
        <f t="shared" si="87"/>
        <v/>
      </c>
      <c r="AE399" s="609" t="str">
        <f t="shared" si="87"/>
        <v/>
      </c>
      <c r="AF399" s="609" t="str">
        <f t="shared" si="87"/>
        <v/>
      </c>
      <c r="AG399" s="609" t="str">
        <f t="shared" si="87"/>
        <v/>
      </c>
      <c r="AH399" s="609" t="str">
        <f t="shared" si="87"/>
        <v/>
      </c>
      <c r="AI399" s="609" t="str">
        <f t="shared" si="87"/>
        <v/>
      </c>
      <c r="AJ399" s="609" t="str">
        <f t="shared" si="87"/>
        <v/>
      </c>
      <c r="AK399" s="609" t="str">
        <f t="shared" si="87"/>
        <v/>
      </c>
      <c r="AL399" s="609" t="str">
        <f t="shared" si="87"/>
        <v/>
      </c>
      <c r="AM399" s="609" t="str">
        <f t="shared" si="90"/>
        <v/>
      </c>
      <c r="AN399" s="609" t="str">
        <f t="shared" si="90"/>
        <v/>
      </c>
      <c r="AO399" s="609" t="str">
        <f t="shared" si="90"/>
        <v/>
      </c>
      <c r="AP399" s="609" t="str">
        <f t="shared" si="90"/>
        <v/>
      </c>
      <c r="AQ399" s="609" t="str">
        <f t="shared" si="90"/>
        <v/>
      </c>
      <c r="AR399" s="609" t="str">
        <f t="shared" si="90"/>
        <v/>
      </c>
      <c r="AS399" s="609" t="str">
        <f t="shared" si="90"/>
        <v/>
      </c>
      <c r="AT399" s="609" t="str">
        <f t="shared" si="90"/>
        <v/>
      </c>
      <c r="AU399" s="609" t="str">
        <f t="shared" si="90"/>
        <v/>
      </c>
      <c r="AV399" s="609" t="str">
        <f t="shared" si="90"/>
        <v/>
      </c>
      <c r="AW399" s="609" t="str">
        <f t="shared" si="90"/>
        <v/>
      </c>
      <c r="AX399" s="609" t="str">
        <f t="shared" si="90"/>
        <v/>
      </c>
      <c r="AY399" s="609" t="str">
        <f t="shared" si="90"/>
        <v/>
      </c>
      <c r="AZ399" s="609" t="str">
        <f t="shared" si="90"/>
        <v/>
      </c>
      <c r="BA399" s="609" t="str">
        <f t="shared" si="90"/>
        <v/>
      </c>
      <c r="BB399" s="609" t="str">
        <f t="shared" si="90"/>
        <v/>
      </c>
      <c r="BC399" s="609" t="str">
        <f t="shared" si="89"/>
        <v/>
      </c>
      <c r="BD399" s="609" t="str">
        <f t="shared" si="89"/>
        <v/>
      </c>
      <c r="BE399" s="609" t="str">
        <f t="shared" si="89"/>
        <v/>
      </c>
      <c r="BF399" s="609" t="str">
        <f t="shared" si="89"/>
        <v/>
      </c>
      <c r="BG399" s="609" t="str">
        <f t="shared" si="89"/>
        <v/>
      </c>
    </row>
    <row r="400" spans="2:59" x14ac:dyDescent="0.25">
      <c r="B400" s="654">
        <v>394</v>
      </c>
      <c r="C400" s="654"/>
      <c r="D400" s="654"/>
      <c r="E400" s="655"/>
      <c r="F400" s="654"/>
      <c r="H400" s="609" t="str">
        <f t="shared" si="88"/>
        <v/>
      </c>
      <c r="I400" s="609" t="str">
        <f t="shared" si="88"/>
        <v/>
      </c>
      <c r="J400" s="609" t="str">
        <f t="shared" si="88"/>
        <v/>
      </c>
      <c r="K400" s="609" t="str">
        <f t="shared" si="88"/>
        <v/>
      </c>
      <c r="L400" s="609" t="str">
        <f t="shared" si="88"/>
        <v/>
      </c>
      <c r="M400" s="609" t="str">
        <f t="shared" si="88"/>
        <v/>
      </c>
      <c r="N400" s="609" t="str">
        <f t="shared" si="88"/>
        <v/>
      </c>
      <c r="O400" s="609" t="str">
        <f t="shared" si="88"/>
        <v/>
      </c>
      <c r="P400" s="609" t="str">
        <f t="shared" si="88"/>
        <v/>
      </c>
      <c r="Q400" s="609" t="str">
        <f t="shared" si="88"/>
        <v/>
      </c>
      <c r="R400" s="609" t="str">
        <f t="shared" si="88"/>
        <v/>
      </c>
      <c r="S400" s="609" t="str">
        <f t="shared" si="88"/>
        <v/>
      </c>
      <c r="T400" s="609" t="str">
        <f t="shared" si="88"/>
        <v/>
      </c>
      <c r="U400" s="609" t="str">
        <f t="shared" si="88"/>
        <v/>
      </c>
      <c r="V400" s="609" t="str">
        <f t="shared" si="88"/>
        <v/>
      </c>
      <c r="W400" s="609" t="str">
        <f t="shared" si="88"/>
        <v/>
      </c>
      <c r="X400" s="609" t="str">
        <f t="shared" si="87"/>
        <v/>
      </c>
      <c r="Y400" s="609" t="str">
        <f t="shared" si="87"/>
        <v/>
      </c>
      <c r="Z400" s="609" t="str">
        <f t="shared" si="87"/>
        <v/>
      </c>
      <c r="AA400" s="609" t="str">
        <f t="shared" si="87"/>
        <v/>
      </c>
      <c r="AB400" s="609" t="str">
        <f t="shared" si="87"/>
        <v/>
      </c>
      <c r="AC400" s="609" t="str">
        <f t="shared" si="87"/>
        <v/>
      </c>
      <c r="AD400" s="609" t="str">
        <f t="shared" si="87"/>
        <v/>
      </c>
      <c r="AE400" s="609" t="str">
        <f t="shared" si="87"/>
        <v/>
      </c>
      <c r="AF400" s="609" t="str">
        <f t="shared" si="87"/>
        <v/>
      </c>
      <c r="AG400" s="609" t="str">
        <f t="shared" si="87"/>
        <v/>
      </c>
      <c r="AH400" s="609" t="str">
        <f t="shared" si="87"/>
        <v/>
      </c>
      <c r="AI400" s="609" t="str">
        <f t="shared" si="87"/>
        <v/>
      </c>
      <c r="AJ400" s="609" t="str">
        <f t="shared" si="87"/>
        <v/>
      </c>
      <c r="AK400" s="609" t="str">
        <f t="shared" si="87"/>
        <v/>
      </c>
      <c r="AL400" s="609" t="str">
        <f t="shared" si="87"/>
        <v/>
      </c>
      <c r="AM400" s="609" t="str">
        <f t="shared" si="90"/>
        <v/>
      </c>
      <c r="AN400" s="609" t="str">
        <f t="shared" si="90"/>
        <v/>
      </c>
      <c r="AO400" s="609" t="str">
        <f t="shared" si="90"/>
        <v/>
      </c>
      <c r="AP400" s="609" t="str">
        <f t="shared" si="90"/>
        <v/>
      </c>
      <c r="AQ400" s="609" t="str">
        <f t="shared" si="90"/>
        <v/>
      </c>
      <c r="AR400" s="609" t="str">
        <f t="shared" si="90"/>
        <v/>
      </c>
      <c r="AS400" s="609" t="str">
        <f t="shared" si="90"/>
        <v/>
      </c>
      <c r="AT400" s="609" t="str">
        <f t="shared" si="90"/>
        <v/>
      </c>
      <c r="AU400" s="609" t="str">
        <f t="shared" si="90"/>
        <v/>
      </c>
      <c r="AV400" s="609" t="str">
        <f t="shared" si="90"/>
        <v/>
      </c>
      <c r="AW400" s="609" t="str">
        <f t="shared" si="90"/>
        <v/>
      </c>
      <c r="AX400" s="609" t="str">
        <f t="shared" si="90"/>
        <v/>
      </c>
      <c r="AY400" s="609" t="str">
        <f t="shared" si="90"/>
        <v/>
      </c>
      <c r="AZ400" s="609" t="str">
        <f t="shared" si="90"/>
        <v/>
      </c>
      <c r="BA400" s="609" t="str">
        <f t="shared" si="90"/>
        <v/>
      </c>
      <c r="BB400" s="609" t="str">
        <f t="shared" si="90"/>
        <v/>
      </c>
      <c r="BC400" s="609" t="str">
        <f t="shared" si="89"/>
        <v/>
      </c>
      <c r="BD400" s="609" t="str">
        <f t="shared" si="89"/>
        <v/>
      </c>
      <c r="BE400" s="609" t="str">
        <f t="shared" si="89"/>
        <v/>
      </c>
      <c r="BF400" s="609" t="str">
        <f t="shared" si="89"/>
        <v/>
      </c>
      <c r="BG400" s="609" t="str">
        <f t="shared" si="89"/>
        <v/>
      </c>
    </row>
    <row r="401" spans="2:59" x14ac:dyDescent="0.25">
      <c r="B401" s="654">
        <v>395</v>
      </c>
      <c r="C401" s="654"/>
      <c r="D401" s="654"/>
      <c r="E401" s="655"/>
      <c r="F401" s="654"/>
      <c r="H401" s="609" t="str">
        <f t="shared" si="88"/>
        <v/>
      </c>
      <c r="I401" s="609" t="str">
        <f t="shared" si="88"/>
        <v/>
      </c>
      <c r="J401" s="609" t="str">
        <f t="shared" si="88"/>
        <v/>
      </c>
      <c r="K401" s="609" t="str">
        <f t="shared" si="88"/>
        <v/>
      </c>
      <c r="L401" s="609" t="str">
        <f t="shared" si="88"/>
        <v/>
      </c>
      <c r="M401" s="609" t="str">
        <f t="shared" si="88"/>
        <v/>
      </c>
      <c r="N401" s="609" t="str">
        <f t="shared" si="88"/>
        <v/>
      </c>
      <c r="O401" s="609" t="str">
        <f t="shared" si="88"/>
        <v/>
      </c>
      <c r="P401" s="609" t="str">
        <f t="shared" si="88"/>
        <v/>
      </c>
      <c r="Q401" s="609" t="str">
        <f t="shared" si="88"/>
        <v/>
      </c>
      <c r="R401" s="609" t="str">
        <f t="shared" si="88"/>
        <v/>
      </c>
      <c r="S401" s="609" t="str">
        <f t="shared" si="88"/>
        <v/>
      </c>
      <c r="T401" s="609" t="str">
        <f t="shared" si="88"/>
        <v/>
      </c>
      <c r="U401" s="609" t="str">
        <f t="shared" si="88"/>
        <v/>
      </c>
      <c r="V401" s="609" t="str">
        <f t="shared" si="88"/>
        <v/>
      </c>
      <c r="W401" s="609" t="str">
        <f t="shared" si="88"/>
        <v/>
      </c>
      <c r="X401" s="609" t="str">
        <f t="shared" si="87"/>
        <v/>
      </c>
      <c r="Y401" s="609" t="str">
        <f t="shared" si="87"/>
        <v/>
      </c>
      <c r="Z401" s="609" t="str">
        <f t="shared" si="87"/>
        <v/>
      </c>
      <c r="AA401" s="609" t="str">
        <f t="shared" si="87"/>
        <v/>
      </c>
      <c r="AB401" s="609" t="str">
        <f t="shared" si="87"/>
        <v/>
      </c>
      <c r="AC401" s="609" t="str">
        <f t="shared" si="87"/>
        <v/>
      </c>
      <c r="AD401" s="609" t="str">
        <f t="shared" si="87"/>
        <v/>
      </c>
      <c r="AE401" s="609" t="str">
        <f t="shared" si="87"/>
        <v/>
      </c>
      <c r="AF401" s="609" t="str">
        <f t="shared" si="87"/>
        <v/>
      </c>
      <c r="AG401" s="609" t="str">
        <f t="shared" si="87"/>
        <v/>
      </c>
      <c r="AH401" s="609" t="str">
        <f t="shared" si="87"/>
        <v/>
      </c>
      <c r="AI401" s="609" t="str">
        <f t="shared" si="87"/>
        <v/>
      </c>
      <c r="AJ401" s="609" t="str">
        <f t="shared" si="87"/>
        <v/>
      </c>
      <c r="AK401" s="609" t="str">
        <f t="shared" si="87"/>
        <v/>
      </c>
      <c r="AL401" s="609" t="str">
        <f t="shared" si="87"/>
        <v/>
      </c>
      <c r="AM401" s="609" t="str">
        <f t="shared" si="90"/>
        <v/>
      </c>
      <c r="AN401" s="609" t="str">
        <f t="shared" si="90"/>
        <v/>
      </c>
      <c r="AO401" s="609" t="str">
        <f t="shared" si="90"/>
        <v/>
      </c>
      <c r="AP401" s="609" t="str">
        <f t="shared" si="90"/>
        <v/>
      </c>
      <c r="AQ401" s="609" t="str">
        <f t="shared" si="90"/>
        <v/>
      </c>
      <c r="AR401" s="609" t="str">
        <f t="shared" si="90"/>
        <v/>
      </c>
      <c r="AS401" s="609" t="str">
        <f t="shared" si="90"/>
        <v/>
      </c>
      <c r="AT401" s="609" t="str">
        <f t="shared" si="90"/>
        <v/>
      </c>
      <c r="AU401" s="609" t="str">
        <f t="shared" si="90"/>
        <v/>
      </c>
      <c r="AV401" s="609" t="str">
        <f t="shared" si="90"/>
        <v/>
      </c>
      <c r="AW401" s="609" t="str">
        <f t="shared" si="90"/>
        <v/>
      </c>
      <c r="AX401" s="609" t="str">
        <f t="shared" si="90"/>
        <v/>
      </c>
      <c r="AY401" s="609" t="str">
        <f t="shared" si="90"/>
        <v/>
      </c>
      <c r="AZ401" s="609" t="str">
        <f t="shared" si="90"/>
        <v/>
      </c>
      <c r="BA401" s="609" t="str">
        <f t="shared" si="90"/>
        <v/>
      </c>
      <c r="BB401" s="609" t="str">
        <f t="shared" si="90"/>
        <v/>
      </c>
      <c r="BC401" s="609" t="str">
        <f t="shared" si="89"/>
        <v/>
      </c>
      <c r="BD401" s="609" t="str">
        <f t="shared" si="89"/>
        <v/>
      </c>
      <c r="BE401" s="609" t="str">
        <f t="shared" si="89"/>
        <v/>
      </c>
      <c r="BF401" s="609" t="str">
        <f t="shared" si="89"/>
        <v/>
      </c>
      <c r="BG401" s="609" t="str">
        <f t="shared" si="89"/>
        <v/>
      </c>
    </row>
    <row r="402" spans="2:59" x14ac:dyDescent="0.25">
      <c r="B402" s="654">
        <v>396</v>
      </c>
      <c r="C402" s="654"/>
      <c r="D402" s="654"/>
      <c r="E402" s="655"/>
      <c r="F402" s="654"/>
      <c r="H402" s="609" t="str">
        <f t="shared" si="88"/>
        <v/>
      </c>
      <c r="I402" s="609" t="str">
        <f t="shared" si="88"/>
        <v/>
      </c>
      <c r="J402" s="609" t="str">
        <f t="shared" si="88"/>
        <v/>
      </c>
      <c r="K402" s="609" t="str">
        <f t="shared" si="88"/>
        <v/>
      </c>
      <c r="L402" s="609" t="str">
        <f t="shared" si="88"/>
        <v/>
      </c>
      <c r="M402" s="609" t="str">
        <f t="shared" si="88"/>
        <v/>
      </c>
      <c r="N402" s="609" t="str">
        <f t="shared" si="88"/>
        <v/>
      </c>
      <c r="O402" s="609" t="str">
        <f t="shared" si="88"/>
        <v/>
      </c>
      <c r="P402" s="609" t="str">
        <f t="shared" si="88"/>
        <v/>
      </c>
      <c r="Q402" s="609" t="str">
        <f t="shared" si="88"/>
        <v/>
      </c>
      <c r="R402" s="609" t="str">
        <f t="shared" si="88"/>
        <v/>
      </c>
      <c r="S402" s="609" t="str">
        <f t="shared" si="88"/>
        <v/>
      </c>
      <c r="T402" s="609" t="str">
        <f t="shared" si="88"/>
        <v/>
      </c>
      <c r="U402" s="609" t="str">
        <f t="shared" si="88"/>
        <v/>
      </c>
      <c r="V402" s="609" t="str">
        <f t="shared" si="88"/>
        <v/>
      </c>
      <c r="W402" s="609" t="str">
        <f t="shared" si="88"/>
        <v/>
      </c>
      <c r="X402" s="609" t="str">
        <f t="shared" si="87"/>
        <v/>
      </c>
      <c r="Y402" s="609" t="str">
        <f t="shared" si="87"/>
        <v/>
      </c>
      <c r="Z402" s="609" t="str">
        <f t="shared" si="87"/>
        <v/>
      </c>
      <c r="AA402" s="609" t="str">
        <f t="shared" si="87"/>
        <v/>
      </c>
      <c r="AB402" s="609" t="str">
        <f t="shared" si="87"/>
        <v/>
      </c>
      <c r="AC402" s="609" t="str">
        <f t="shared" si="87"/>
        <v/>
      </c>
      <c r="AD402" s="609" t="str">
        <f t="shared" si="87"/>
        <v/>
      </c>
      <c r="AE402" s="609" t="str">
        <f t="shared" si="87"/>
        <v/>
      </c>
      <c r="AF402" s="609" t="str">
        <f t="shared" si="87"/>
        <v/>
      </c>
      <c r="AG402" s="609" t="str">
        <f t="shared" si="87"/>
        <v/>
      </c>
      <c r="AH402" s="609" t="str">
        <f t="shared" si="87"/>
        <v/>
      </c>
      <c r="AI402" s="609" t="str">
        <f t="shared" si="87"/>
        <v/>
      </c>
      <c r="AJ402" s="609" t="str">
        <f t="shared" si="87"/>
        <v/>
      </c>
      <c r="AK402" s="609" t="str">
        <f t="shared" si="87"/>
        <v/>
      </c>
      <c r="AL402" s="609" t="str">
        <f t="shared" si="87"/>
        <v/>
      </c>
      <c r="AM402" s="609" t="str">
        <f t="shared" si="90"/>
        <v/>
      </c>
      <c r="AN402" s="609" t="str">
        <f t="shared" si="90"/>
        <v/>
      </c>
      <c r="AO402" s="609" t="str">
        <f t="shared" si="90"/>
        <v/>
      </c>
      <c r="AP402" s="609" t="str">
        <f t="shared" si="90"/>
        <v/>
      </c>
      <c r="AQ402" s="609" t="str">
        <f t="shared" si="90"/>
        <v/>
      </c>
      <c r="AR402" s="609" t="str">
        <f t="shared" si="90"/>
        <v/>
      </c>
      <c r="AS402" s="609" t="str">
        <f t="shared" si="90"/>
        <v/>
      </c>
      <c r="AT402" s="609" t="str">
        <f t="shared" si="90"/>
        <v/>
      </c>
      <c r="AU402" s="609" t="str">
        <f t="shared" si="90"/>
        <v/>
      </c>
      <c r="AV402" s="609" t="str">
        <f t="shared" si="90"/>
        <v/>
      </c>
      <c r="AW402" s="609" t="str">
        <f t="shared" si="90"/>
        <v/>
      </c>
      <c r="AX402" s="609" t="str">
        <f t="shared" si="90"/>
        <v/>
      </c>
      <c r="AY402" s="609" t="str">
        <f t="shared" si="90"/>
        <v/>
      </c>
      <c r="AZ402" s="609" t="str">
        <f t="shared" si="90"/>
        <v/>
      </c>
      <c r="BA402" s="609" t="str">
        <f t="shared" si="90"/>
        <v/>
      </c>
      <c r="BB402" s="609" t="str">
        <f t="shared" si="90"/>
        <v/>
      </c>
      <c r="BC402" s="609" t="str">
        <f t="shared" si="89"/>
        <v/>
      </c>
      <c r="BD402" s="609" t="str">
        <f t="shared" si="89"/>
        <v/>
      </c>
      <c r="BE402" s="609" t="str">
        <f t="shared" si="89"/>
        <v/>
      </c>
      <c r="BF402" s="609" t="str">
        <f t="shared" si="89"/>
        <v/>
      </c>
      <c r="BG402" s="609" t="str">
        <f t="shared" si="89"/>
        <v/>
      </c>
    </row>
    <row r="403" spans="2:59" x14ac:dyDescent="0.25">
      <c r="B403" s="654">
        <v>397</v>
      </c>
      <c r="C403" s="654"/>
      <c r="D403" s="654"/>
      <c r="E403" s="655"/>
      <c r="F403" s="654"/>
      <c r="H403" s="609" t="str">
        <f t="shared" si="88"/>
        <v/>
      </c>
      <c r="I403" s="609" t="str">
        <f t="shared" si="88"/>
        <v/>
      </c>
      <c r="J403" s="609" t="str">
        <f t="shared" si="88"/>
        <v/>
      </c>
      <c r="K403" s="609" t="str">
        <f t="shared" si="88"/>
        <v/>
      </c>
      <c r="L403" s="609" t="str">
        <f t="shared" si="88"/>
        <v/>
      </c>
      <c r="M403" s="609" t="str">
        <f t="shared" si="88"/>
        <v/>
      </c>
      <c r="N403" s="609" t="str">
        <f t="shared" si="88"/>
        <v/>
      </c>
      <c r="O403" s="609" t="str">
        <f t="shared" si="88"/>
        <v/>
      </c>
      <c r="P403" s="609" t="str">
        <f t="shared" si="88"/>
        <v/>
      </c>
      <c r="Q403" s="609" t="str">
        <f t="shared" si="88"/>
        <v/>
      </c>
      <c r="R403" s="609" t="str">
        <f t="shared" si="88"/>
        <v/>
      </c>
      <c r="S403" s="609" t="str">
        <f t="shared" si="88"/>
        <v/>
      </c>
      <c r="T403" s="609" t="str">
        <f t="shared" si="88"/>
        <v/>
      </c>
      <c r="U403" s="609" t="str">
        <f t="shared" si="88"/>
        <v/>
      </c>
      <c r="V403" s="609" t="str">
        <f t="shared" si="88"/>
        <v/>
      </c>
      <c r="W403" s="609" t="str">
        <f t="shared" si="88"/>
        <v/>
      </c>
      <c r="X403" s="609" t="str">
        <f t="shared" si="87"/>
        <v/>
      </c>
      <c r="Y403" s="609" t="str">
        <f t="shared" si="87"/>
        <v/>
      </c>
      <c r="Z403" s="609" t="str">
        <f t="shared" si="87"/>
        <v/>
      </c>
      <c r="AA403" s="609" t="str">
        <f t="shared" si="87"/>
        <v/>
      </c>
      <c r="AB403" s="609" t="str">
        <f t="shared" si="87"/>
        <v/>
      </c>
      <c r="AC403" s="609" t="str">
        <f t="shared" si="87"/>
        <v/>
      </c>
      <c r="AD403" s="609" t="str">
        <f t="shared" si="87"/>
        <v/>
      </c>
      <c r="AE403" s="609" t="str">
        <f t="shared" si="87"/>
        <v/>
      </c>
      <c r="AF403" s="609" t="str">
        <f t="shared" si="87"/>
        <v/>
      </c>
      <c r="AG403" s="609" t="str">
        <f t="shared" si="87"/>
        <v/>
      </c>
      <c r="AH403" s="609" t="str">
        <f t="shared" si="87"/>
        <v/>
      </c>
      <c r="AI403" s="609" t="str">
        <f t="shared" si="87"/>
        <v/>
      </c>
      <c r="AJ403" s="609" t="str">
        <f t="shared" si="87"/>
        <v/>
      </c>
      <c r="AK403" s="609" t="str">
        <f t="shared" si="87"/>
        <v/>
      </c>
      <c r="AL403" s="609" t="str">
        <f t="shared" si="87"/>
        <v/>
      </c>
      <c r="AM403" s="609" t="str">
        <f t="shared" si="90"/>
        <v/>
      </c>
      <c r="AN403" s="609" t="str">
        <f t="shared" si="90"/>
        <v/>
      </c>
      <c r="AO403" s="609" t="str">
        <f t="shared" si="90"/>
        <v/>
      </c>
      <c r="AP403" s="609" t="str">
        <f t="shared" si="90"/>
        <v/>
      </c>
      <c r="AQ403" s="609" t="str">
        <f t="shared" si="90"/>
        <v/>
      </c>
      <c r="AR403" s="609" t="str">
        <f t="shared" si="90"/>
        <v/>
      </c>
      <c r="AS403" s="609" t="str">
        <f t="shared" si="90"/>
        <v/>
      </c>
      <c r="AT403" s="609" t="str">
        <f t="shared" si="90"/>
        <v/>
      </c>
      <c r="AU403" s="609" t="str">
        <f t="shared" si="90"/>
        <v/>
      </c>
      <c r="AV403" s="609" t="str">
        <f t="shared" si="90"/>
        <v/>
      </c>
      <c r="AW403" s="609" t="str">
        <f t="shared" si="90"/>
        <v/>
      </c>
      <c r="AX403" s="609" t="str">
        <f t="shared" si="90"/>
        <v/>
      </c>
      <c r="AY403" s="609" t="str">
        <f t="shared" si="90"/>
        <v/>
      </c>
      <c r="AZ403" s="609" t="str">
        <f t="shared" si="90"/>
        <v/>
      </c>
      <c r="BA403" s="609" t="str">
        <f t="shared" si="90"/>
        <v/>
      </c>
      <c r="BB403" s="609" t="str">
        <f t="shared" si="90"/>
        <v/>
      </c>
      <c r="BC403" s="609" t="str">
        <f t="shared" si="89"/>
        <v/>
      </c>
      <c r="BD403" s="609" t="str">
        <f t="shared" si="89"/>
        <v/>
      </c>
      <c r="BE403" s="609" t="str">
        <f t="shared" si="89"/>
        <v/>
      </c>
      <c r="BF403" s="609" t="str">
        <f t="shared" si="89"/>
        <v/>
      </c>
      <c r="BG403" s="609" t="str">
        <f t="shared" si="89"/>
        <v/>
      </c>
    </row>
    <row r="404" spans="2:59" x14ac:dyDescent="0.25">
      <c r="B404" s="654">
        <v>398</v>
      </c>
      <c r="C404" s="654"/>
      <c r="D404" s="654"/>
      <c r="E404" s="655"/>
      <c r="F404" s="654"/>
      <c r="H404" s="609" t="str">
        <f t="shared" si="88"/>
        <v/>
      </c>
      <c r="I404" s="609" t="str">
        <f t="shared" si="88"/>
        <v/>
      </c>
      <c r="J404" s="609" t="str">
        <f t="shared" si="88"/>
        <v/>
      </c>
      <c r="K404" s="609" t="str">
        <f t="shared" si="88"/>
        <v/>
      </c>
      <c r="L404" s="609" t="str">
        <f t="shared" si="88"/>
        <v/>
      </c>
      <c r="M404" s="609" t="str">
        <f t="shared" si="88"/>
        <v/>
      </c>
      <c r="N404" s="609" t="str">
        <f t="shared" si="88"/>
        <v/>
      </c>
      <c r="O404" s="609" t="str">
        <f t="shared" si="88"/>
        <v/>
      </c>
      <c r="P404" s="609" t="str">
        <f t="shared" si="88"/>
        <v/>
      </c>
      <c r="Q404" s="609" t="str">
        <f t="shared" si="88"/>
        <v/>
      </c>
      <c r="R404" s="609" t="str">
        <f t="shared" si="88"/>
        <v/>
      </c>
      <c r="S404" s="609" t="str">
        <f t="shared" si="88"/>
        <v/>
      </c>
      <c r="T404" s="609" t="str">
        <f t="shared" si="88"/>
        <v/>
      </c>
      <c r="U404" s="609" t="str">
        <f t="shared" si="88"/>
        <v/>
      </c>
      <c r="V404" s="609" t="str">
        <f t="shared" si="88"/>
        <v/>
      </c>
      <c r="W404" s="609" t="str">
        <f t="shared" si="88"/>
        <v/>
      </c>
      <c r="X404" s="609" t="str">
        <f t="shared" si="87"/>
        <v/>
      </c>
      <c r="Y404" s="609" t="str">
        <f t="shared" si="87"/>
        <v/>
      </c>
      <c r="Z404" s="609" t="str">
        <f t="shared" si="87"/>
        <v/>
      </c>
      <c r="AA404" s="609" t="str">
        <f t="shared" si="87"/>
        <v/>
      </c>
      <c r="AB404" s="609" t="str">
        <f t="shared" si="87"/>
        <v/>
      </c>
      <c r="AC404" s="609" t="str">
        <f t="shared" si="87"/>
        <v/>
      </c>
      <c r="AD404" s="609" t="str">
        <f t="shared" si="87"/>
        <v/>
      </c>
      <c r="AE404" s="609" t="str">
        <f t="shared" si="87"/>
        <v/>
      </c>
      <c r="AF404" s="609" t="str">
        <f t="shared" si="87"/>
        <v/>
      </c>
      <c r="AG404" s="609" t="str">
        <f t="shared" si="87"/>
        <v/>
      </c>
      <c r="AH404" s="609" t="str">
        <f t="shared" si="87"/>
        <v/>
      </c>
      <c r="AI404" s="609" t="str">
        <f t="shared" si="87"/>
        <v/>
      </c>
      <c r="AJ404" s="609" t="str">
        <f t="shared" si="87"/>
        <v/>
      </c>
      <c r="AK404" s="609" t="str">
        <f t="shared" si="87"/>
        <v/>
      </c>
      <c r="AL404" s="609" t="str">
        <f t="shared" si="87"/>
        <v/>
      </c>
      <c r="AM404" s="609" t="str">
        <f t="shared" si="90"/>
        <v/>
      </c>
      <c r="AN404" s="609" t="str">
        <f t="shared" si="90"/>
        <v/>
      </c>
      <c r="AO404" s="609" t="str">
        <f t="shared" si="90"/>
        <v/>
      </c>
      <c r="AP404" s="609" t="str">
        <f t="shared" si="90"/>
        <v/>
      </c>
      <c r="AQ404" s="609" t="str">
        <f t="shared" si="90"/>
        <v/>
      </c>
      <c r="AR404" s="609" t="str">
        <f t="shared" si="90"/>
        <v/>
      </c>
      <c r="AS404" s="609" t="str">
        <f t="shared" si="90"/>
        <v/>
      </c>
      <c r="AT404" s="609" t="str">
        <f t="shared" si="90"/>
        <v/>
      </c>
      <c r="AU404" s="609" t="str">
        <f t="shared" si="90"/>
        <v/>
      </c>
      <c r="AV404" s="609" t="str">
        <f t="shared" si="90"/>
        <v/>
      </c>
      <c r="AW404" s="609" t="str">
        <f t="shared" si="90"/>
        <v/>
      </c>
      <c r="AX404" s="609" t="str">
        <f t="shared" si="90"/>
        <v/>
      </c>
      <c r="AY404" s="609" t="str">
        <f t="shared" si="90"/>
        <v/>
      </c>
      <c r="AZ404" s="609" t="str">
        <f t="shared" si="90"/>
        <v/>
      </c>
      <c r="BA404" s="609" t="str">
        <f t="shared" si="90"/>
        <v/>
      </c>
      <c r="BB404" s="609" t="str">
        <f t="shared" si="90"/>
        <v/>
      </c>
      <c r="BC404" s="609" t="str">
        <f t="shared" si="89"/>
        <v/>
      </c>
      <c r="BD404" s="609" t="str">
        <f t="shared" si="89"/>
        <v/>
      </c>
      <c r="BE404" s="609" t="str">
        <f t="shared" si="89"/>
        <v/>
      </c>
      <c r="BF404" s="609" t="str">
        <f t="shared" si="89"/>
        <v/>
      </c>
      <c r="BG404" s="609" t="str">
        <f t="shared" si="89"/>
        <v/>
      </c>
    </row>
    <row r="405" spans="2:59" x14ac:dyDescent="0.25">
      <c r="B405" s="654">
        <v>399</v>
      </c>
      <c r="C405" s="654"/>
      <c r="D405" s="654"/>
      <c r="E405" s="655"/>
      <c r="F405" s="654"/>
      <c r="H405" s="609" t="str">
        <f t="shared" si="88"/>
        <v/>
      </c>
      <c r="I405" s="609" t="str">
        <f t="shared" si="88"/>
        <v/>
      </c>
      <c r="J405" s="609" t="str">
        <f t="shared" si="88"/>
        <v/>
      </c>
      <c r="K405" s="609" t="str">
        <f t="shared" si="88"/>
        <v/>
      </c>
      <c r="L405" s="609" t="str">
        <f t="shared" si="88"/>
        <v/>
      </c>
      <c r="M405" s="609" t="str">
        <f t="shared" si="88"/>
        <v/>
      </c>
      <c r="N405" s="609" t="str">
        <f t="shared" si="88"/>
        <v/>
      </c>
      <c r="O405" s="609" t="str">
        <f t="shared" si="88"/>
        <v/>
      </c>
      <c r="P405" s="609" t="str">
        <f t="shared" si="88"/>
        <v/>
      </c>
      <c r="Q405" s="609" t="str">
        <f t="shared" si="88"/>
        <v/>
      </c>
      <c r="R405" s="609" t="str">
        <f t="shared" si="88"/>
        <v/>
      </c>
      <c r="S405" s="609" t="str">
        <f t="shared" si="88"/>
        <v/>
      </c>
      <c r="T405" s="609" t="str">
        <f t="shared" si="88"/>
        <v/>
      </c>
      <c r="U405" s="609" t="str">
        <f t="shared" si="88"/>
        <v/>
      </c>
      <c r="V405" s="609" t="str">
        <f t="shared" si="88"/>
        <v/>
      </c>
      <c r="W405" s="609" t="str">
        <f t="shared" ref="W405:AL420" si="91">IF($D405=W$6,$B405&amp;", ","")</f>
        <v/>
      </c>
      <c r="X405" s="609" t="str">
        <f t="shared" si="91"/>
        <v/>
      </c>
      <c r="Y405" s="609" t="str">
        <f t="shared" si="91"/>
        <v/>
      </c>
      <c r="Z405" s="609" t="str">
        <f t="shared" si="91"/>
        <v/>
      </c>
      <c r="AA405" s="609" t="str">
        <f t="shared" si="91"/>
        <v/>
      </c>
      <c r="AB405" s="609" t="str">
        <f t="shared" si="91"/>
        <v/>
      </c>
      <c r="AC405" s="609" t="str">
        <f t="shared" si="91"/>
        <v/>
      </c>
      <c r="AD405" s="609" t="str">
        <f t="shared" si="91"/>
        <v/>
      </c>
      <c r="AE405" s="609" t="str">
        <f t="shared" si="91"/>
        <v/>
      </c>
      <c r="AF405" s="609" t="str">
        <f t="shared" si="91"/>
        <v/>
      </c>
      <c r="AG405" s="609" t="str">
        <f t="shared" si="91"/>
        <v/>
      </c>
      <c r="AH405" s="609" t="str">
        <f t="shared" si="91"/>
        <v/>
      </c>
      <c r="AI405" s="609" t="str">
        <f t="shared" si="91"/>
        <v/>
      </c>
      <c r="AJ405" s="609" t="str">
        <f t="shared" si="91"/>
        <v/>
      </c>
      <c r="AK405" s="609" t="str">
        <f t="shared" si="91"/>
        <v/>
      </c>
      <c r="AL405" s="609" t="str">
        <f t="shared" si="91"/>
        <v/>
      </c>
      <c r="AM405" s="609" t="str">
        <f t="shared" si="90"/>
        <v/>
      </c>
      <c r="AN405" s="609" t="str">
        <f t="shared" si="90"/>
        <v/>
      </c>
      <c r="AO405" s="609" t="str">
        <f t="shared" si="90"/>
        <v/>
      </c>
      <c r="AP405" s="609" t="str">
        <f t="shared" si="90"/>
        <v/>
      </c>
      <c r="AQ405" s="609" t="str">
        <f t="shared" si="90"/>
        <v/>
      </c>
      <c r="AR405" s="609" t="str">
        <f t="shared" si="90"/>
        <v/>
      </c>
      <c r="AS405" s="609" t="str">
        <f t="shared" si="90"/>
        <v/>
      </c>
      <c r="AT405" s="609" t="str">
        <f t="shared" si="90"/>
        <v/>
      </c>
      <c r="AU405" s="609" t="str">
        <f t="shared" si="90"/>
        <v/>
      </c>
      <c r="AV405" s="609" t="str">
        <f t="shared" si="90"/>
        <v/>
      </c>
      <c r="AW405" s="609" t="str">
        <f t="shared" si="90"/>
        <v/>
      </c>
      <c r="AX405" s="609" t="str">
        <f t="shared" si="90"/>
        <v/>
      </c>
      <c r="AY405" s="609" t="str">
        <f t="shared" si="90"/>
        <v/>
      </c>
      <c r="AZ405" s="609" t="str">
        <f t="shared" si="90"/>
        <v/>
      </c>
      <c r="BA405" s="609" t="str">
        <f t="shared" si="90"/>
        <v/>
      </c>
      <c r="BB405" s="609" t="str">
        <f t="shared" si="90"/>
        <v/>
      </c>
      <c r="BC405" s="609" t="str">
        <f t="shared" si="89"/>
        <v/>
      </c>
      <c r="BD405" s="609" t="str">
        <f t="shared" si="89"/>
        <v/>
      </c>
      <c r="BE405" s="609" t="str">
        <f t="shared" si="89"/>
        <v/>
      </c>
      <c r="BF405" s="609" t="str">
        <f t="shared" si="89"/>
        <v/>
      </c>
      <c r="BG405" s="609" t="str">
        <f t="shared" si="89"/>
        <v/>
      </c>
    </row>
    <row r="406" spans="2:59" x14ac:dyDescent="0.25">
      <c r="B406" s="654">
        <v>400</v>
      </c>
      <c r="C406" s="654"/>
      <c r="D406" s="654"/>
      <c r="E406" s="655"/>
      <c r="F406" s="654"/>
      <c r="H406" s="609" t="str">
        <f t="shared" ref="H406:W421" si="92">IF($D406=H$6,$B406&amp;", ","")</f>
        <v/>
      </c>
      <c r="I406" s="609" t="str">
        <f t="shared" si="92"/>
        <v/>
      </c>
      <c r="J406" s="609" t="str">
        <f t="shared" si="92"/>
        <v/>
      </c>
      <c r="K406" s="609" t="str">
        <f t="shared" si="92"/>
        <v/>
      </c>
      <c r="L406" s="609" t="str">
        <f t="shared" si="92"/>
        <v/>
      </c>
      <c r="M406" s="609" t="str">
        <f t="shared" si="92"/>
        <v/>
      </c>
      <c r="N406" s="609" t="str">
        <f t="shared" si="92"/>
        <v/>
      </c>
      <c r="O406" s="609" t="str">
        <f t="shared" si="92"/>
        <v/>
      </c>
      <c r="P406" s="609" t="str">
        <f t="shared" si="92"/>
        <v/>
      </c>
      <c r="Q406" s="609" t="str">
        <f t="shared" si="92"/>
        <v/>
      </c>
      <c r="R406" s="609" t="str">
        <f t="shared" si="92"/>
        <v/>
      </c>
      <c r="S406" s="609" t="str">
        <f t="shared" si="92"/>
        <v/>
      </c>
      <c r="T406" s="609" t="str">
        <f t="shared" si="92"/>
        <v/>
      </c>
      <c r="U406" s="609" t="str">
        <f t="shared" si="92"/>
        <v/>
      </c>
      <c r="V406" s="609" t="str">
        <f t="shared" si="92"/>
        <v/>
      </c>
      <c r="W406" s="609" t="str">
        <f t="shared" si="92"/>
        <v/>
      </c>
      <c r="X406" s="609" t="str">
        <f t="shared" si="91"/>
        <v/>
      </c>
      <c r="Y406" s="609" t="str">
        <f t="shared" si="91"/>
        <v/>
      </c>
      <c r="Z406" s="609" t="str">
        <f t="shared" si="91"/>
        <v/>
      </c>
      <c r="AA406" s="609" t="str">
        <f t="shared" si="91"/>
        <v/>
      </c>
      <c r="AB406" s="609" t="str">
        <f t="shared" si="91"/>
        <v/>
      </c>
      <c r="AC406" s="609" t="str">
        <f t="shared" si="91"/>
        <v/>
      </c>
      <c r="AD406" s="609" t="str">
        <f t="shared" si="91"/>
        <v/>
      </c>
      <c r="AE406" s="609" t="str">
        <f t="shared" si="91"/>
        <v/>
      </c>
      <c r="AF406" s="609" t="str">
        <f t="shared" si="91"/>
        <v/>
      </c>
      <c r="AG406" s="609" t="str">
        <f t="shared" si="91"/>
        <v/>
      </c>
      <c r="AH406" s="609" t="str">
        <f t="shared" si="91"/>
        <v/>
      </c>
      <c r="AI406" s="609" t="str">
        <f t="shared" si="91"/>
        <v/>
      </c>
      <c r="AJ406" s="609" t="str">
        <f t="shared" si="91"/>
        <v/>
      </c>
      <c r="AK406" s="609" t="str">
        <f t="shared" si="91"/>
        <v/>
      </c>
      <c r="AL406" s="609" t="str">
        <f t="shared" si="91"/>
        <v/>
      </c>
      <c r="AM406" s="609" t="str">
        <f t="shared" si="90"/>
        <v/>
      </c>
      <c r="AN406" s="609" t="str">
        <f t="shared" si="90"/>
        <v/>
      </c>
      <c r="AO406" s="609" t="str">
        <f t="shared" si="90"/>
        <v/>
      </c>
      <c r="AP406" s="609" t="str">
        <f t="shared" si="90"/>
        <v/>
      </c>
      <c r="AQ406" s="609" t="str">
        <f t="shared" si="90"/>
        <v/>
      </c>
      <c r="AR406" s="609" t="str">
        <f t="shared" si="90"/>
        <v/>
      </c>
      <c r="AS406" s="609" t="str">
        <f t="shared" si="90"/>
        <v/>
      </c>
      <c r="AT406" s="609" t="str">
        <f t="shared" si="90"/>
        <v/>
      </c>
      <c r="AU406" s="609" t="str">
        <f t="shared" si="90"/>
        <v/>
      </c>
      <c r="AV406" s="609" t="str">
        <f t="shared" si="90"/>
        <v/>
      </c>
      <c r="AW406" s="609" t="str">
        <f t="shared" si="90"/>
        <v/>
      </c>
      <c r="AX406" s="609" t="str">
        <f t="shared" si="90"/>
        <v/>
      </c>
      <c r="AY406" s="609" t="str">
        <f t="shared" si="90"/>
        <v/>
      </c>
      <c r="AZ406" s="609" t="str">
        <f t="shared" si="90"/>
        <v/>
      </c>
      <c r="BA406" s="609" t="str">
        <f t="shared" si="90"/>
        <v/>
      </c>
      <c r="BB406" s="609" t="str">
        <f t="shared" si="90"/>
        <v/>
      </c>
      <c r="BC406" s="609" t="str">
        <f t="shared" si="89"/>
        <v/>
      </c>
      <c r="BD406" s="609" t="str">
        <f t="shared" si="89"/>
        <v/>
      </c>
      <c r="BE406" s="609" t="str">
        <f t="shared" si="89"/>
        <v/>
      </c>
      <c r="BF406" s="609" t="str">
        <f t="shared" si="89"/>
        <v/>
      </c>
      <c r="BG406" s="609" t="str">
        <f t="shared" si="89"/>
        <v/>
      </c>
    </row>
    <row r="407" spans="2:59" x14ac:dyDescent="0.25">
      <c r="B407" s="654">
        <v>401</v>
      </c>
      <c r="C407" s="654"/>
      <c r="D407" s="654"/>
      <c r="E407" s="655"/>
      <c r="F407" s="654"/>
      <c r="H407" s="609" t="str">
        <f t="shared" si="92"/>
        <v/>
      </c>
      <c r="I407" s="609" t="str">
        <f t="shared" si="92"/>
        <v/>
      </c>
      <c r="J407" s="609" t="str">
        <f t="shared" si="92"/>
        <v/>
      </c>
      <c r="K407" s="609" t="str">
        <f t="shared" si="92"/>
        <v/>
      </c>
      <c r="L407" s="609" t="str">
        <f t="shared" si="92"/>
        <v/>
      </c>
      <c r="M407" s="609" t="str">
        <f t="shared" si="92"/>
        <v/>
      </c>
      <c r="N407" s="609" t="str">
        <f t="shared" si="92"/>
        <v/>
      </c>
      <c r="O407" s="609" t="str">
        <f t="shared" si="92"/>
        <v/>
      </c>
      <c r="P407" s="609" t="str">
        <f t="shared" si="92"/>
        <v/>
      </c>
      <c r="Q407" s="609" t="str">
        <f t="shared" si="92"/>
        <v/>
      </c>
      <c r="R407" s="609" t="str">
        <f t="shared" si="92"/>
        <v/>
      </c>
      <c r="S407" s="609" t="str">
        <f t="shared" si="92"/>
        <v/>
      </c>
      <c r="T407" s="609" t="str">
        <f t="shared" si="92"/>
        <v/>
      </c>
      <c r="U407" s="609" t="str">
        <f t="shared" si="92"/>
        <v/>
      </c>
      <c r="V407" s="609" t="str">
        <f t="shared" si="92"/>
        <v/>
      </c>
      <c r="W407" s="609" t="str">
        <f t="shared" si="92"/>
        <v/>
      </c>
      <c r="X407" s="609" t="str">
        <f t="shared" si="91"/>
        <v/>
      </c>
      <c r="Y407" s="609" t="str">
        <f t="shared" si="91"/>
        <v/>
      </c>
      <c r="Z407" s="609" t="str">
        <f t="shared" si="91"/>
        <v/>
      </c>
      <c r="AA407" s="609" t="str">
        <f t="shared" si="91"/>
        <v/>
      </c>
      <c r="AB407" s="609" t="str">
        <f t="shared" si="91"/>
        <v/>
      </c>
      <c r="AC407" s="609" t="str">
        <f t="shared" si="91"/>
        <v/>
      </c>
      <c r="AD407" s="609" t="str">
        <f t="shared" si="91"/>
        <v/>
      </c>
      <c r="AE407" s="609" t="str">
        <f t="shared" si="91"/>
        <v/>
      </c>
      <c r="AF407" s="609" t="str">
        <f t="shared" si="91"/>
        <v/>
      </c>
      <c r="AG407" s="609" t="str">
        <f t="shared" si="91"/>
        <v/>
      </c>
      <c r="AH407" s="609" t="str">
        <f t="shared" si="91"/>
        <v/>
      </c>
      <c r="AI407" s="609" t="str">
        <f t="shared" si="91"/>
        <v/>
      </c>
      <c r="AJ407" s="609" t="str">
        <f t="shared" si="91"/>
        <v/>
      </c>
      <c r="AK407" s="609" t="str">
        <f t="shared" si="91"/>
        <v/>
      </c>
      <c r="AL407" s="609" t="str">
        <f t="shared" si="91"/>
        <v/>
      </c>
      <c r="AM407" s="609" t="str">
        <f t="shared" si="90"/>
        <v/>
      </c>
      <c r="AN407" s="609" t="str">
        <f t="shared" si="90"/>
        <v/>
      </c>
      <c r="AO407" s="609" t="str">
        <f t="shared" si="90"/>
        <v/>
      </c>
      <c r="AP407" s="609" t="str">
        <f t="shared" si="90"/>
        <v/>
      </c>
      <c r="AQ407" s="609" t="str">
        <f t="shared" si="90"/>
        <v/>
      </c>
      <c r="AR407" s="609" t="str">
        <f t="shared" si="90"/>
        <v/>
      </c>
      <c r="AS407" s="609" t="str">
        <f t="shared" si="90"/>
        <v/>
      </c>
      <c r="AT407" s="609" t="str">
        <f t="shared" si="90"/>
        <v/>
      </c>
      <c r="AU407" s="609" t="str">
        <f t="shared" si="90"/>
        <v/>
      </c>
      <c r="AV407" s="609" t="str">
        <f t="shared" si="90"/>
        <v/>
      </c>
      <c r="AW407" s="609" t="str">
        <f t="shared" si="90"/>
        <v/>
      </c>
      <c r="AX407" s="609" t="str">
        <f t="shared" si="90"/>
        <v/>
      </c>
      <c r="AY407" s="609" t="str">
        <f t="shared" si="90"/>
        <v/>
      </c>
      <c r="AZ407" s="609" t="str">
        <f t="shared" si="90"/>
        <v/>
      </c>
      <c r="BA407" s="609" t="str">
        <f t="shared" si="90"/>
        <v/>
      </c>
      <c r="BB407" s="609" t="str">
        <f t="shared" si="90"/>
        <v/>
      </c>
      <c r="BC407" s="609" t="str">
        <f t="shared" si="89"/>
        <v/>
      </c>
      <c r="BD407" s="609" t="str">
        <f t="shared" si="89"/>
        <v/>
      </c>
      <c r="BE407" s="609" t="str">
        <f t="shared" si="89"/>
        <v/>
      </c>
      <c r="BF407" s="609" t="str">
        <f t="shared" si="89"/>
        <v/>
      </c>
      <c r="BG407" s="609" t="str">
        <f t="shared" si="89"/>
        <v/>
      </c>
    </row>
    <row r="408" spans="2:59" x14ac:dyDescent="0.25">
      <c r="B408" s="654">
        <v>402</v>
      </c>
      <c r="C408" s="654"/>
      <c r="D408" s="654"/>
      <c r="E408" s="655"/>
      <c r="F408" s="654"/>
      <c r="H408" s="609" t="str">
        <f t="shared" si="92"/>
        <v/>
      </c>
      <c r="I408" s="609" t="str">
        <f t="shared" si="92"/>
        <v/>
      </c>
      <c r="J408" s="609" t="str">
        <f t="shared" si="92"/>
        <v/>
      </c>
      <c r="K408" s="609" t="str">
        <f t="shared" si="92"/>
        <v/>
      </c>
      <c r="L408" s="609" t="str">
        <f t="shared" si="92"/>
        <v/>
      </c>
      <c r="M408" s="609" t="str">
        <f t="shared" si="92"/>
        <v/>
      </c>
      <c r="N408" s="609" t="str">
        <f t="shared" si="92"/>
        <v/>
      </c>
      <c r="O408" s="609" t="str">
        <f t="shared" si="92"/>
        <v/>
      </c>
      <c r="P408" s="609" t="str">
        <f t="shared" si="92"/>
        <v/>
      </c>
      <c r="Q408" s="609" t="str">
        <f t="shared" si="92"/>
        <v/>
      </c>
      <c r="R408" s="609" t="str">
        <f t="shared" si="92"/>
        <v/>
      </c>
      <c r="S408" s="609" t="str">
        <f t="shared" si="92"/>
        <v/>
      </c>
      <c r="T408" s="609" t="str">
        <f t="shared" si="92"/>
        <v/>
      </c>
      <c r="U408" s="609" t="str">
        <f t="shared" si="92"/>
        <v/>
      </c>
      <c r="V408" s="609" t="str">
        <f t="shared" si="92"/>
        <v/>
      </c>
      <c r="W408" s="609" t="str">
        <f t="shared" si="92"/>
        <v/>
      </c>
      <c r="X408" s="609" t="str">
        <f t="shared" si="91"/>
        <v/>
      </c>
      <c r="Y408" s="609" t="str">
        <f t="shared" si="91"/>
        <v/>
      </c>
      <c r="Z408" s="609" t="str">
        <f t="shared" si="91"/>
        <v/>
      </c>
      <c r="AA408" s="609" t="str">
        <f t="shared" si="91"/>
        <v/>
      </c>
      <c r="AB408" s="609" t="str">
        <f t="shared" si="91"/>
        <v/>
      </c>
      <c r="AC408" s="609" t="str">
        <f t="shared" si="91"/>
        <v/>
      </c>
      <c r="AD408" s="609" t="str">
        <f t="shared" si="91"/>
        <v/>
      </c>
      <c r="AE408" s="609" t="str">
        <f t="shared" si="91"/>
        <v/>
      </c>
      <c r="AF408" s="609" t="str">
        <f t="shared" si="91"/>
        <v/>
      </c>
      <c r="AG408" s="609" t="str">
        <f t="shared" si="91"/>
        <v/>
      </c>
      <c r="AH408" s="609" t="str">
        <f t="shared" si="91"/>
        <v/>
      </c>
      <c r="AI408" s="609" t="str">
        <f t="shared" si="91"/>
        <v/>
      </c>
      <c r="AJ408" s="609" t="str">
        <f t="shared" si="91"/>
        <v/>
      </c>
      <c r="AK408" s="609" t="str">
        <f t="shared" si="91"/>
        <v/>
      </c>
      <c r="AL408" s="609" t="str">
        <f t="shared" si="91"/>
        <v/>
      </c>
      <c r="AM408" s="609" t="str">
        <f t="shared" si="90"/>
        <v/>
      </c>
      <c r="AN408" s="609" t="str">
        <f t="shared" si="90"/>
        <v/>
      </c>
      <c r="AO408" s="609" t="str">
        <f t="shared" si="90"/>
        <v/>
      </c>
      <c r="AP408" s="609" t="str">
        <f t="shared" si="90"/>
        <v/>
      </c>
      <c r="AQ408" s="609" t="str">
        <f t="shared" si="90"/>
        <v/>
      </c>
      <c r="AR408" s="609" t="str">
        <f t="shared" si="90"/>
        <v/>
      </c>
      <c r="AS408" s="609" t="str">
        <f t="shared" si="90"/>
        <v/>
      </c>
      <c r="AT408" s="609" t="str">
        <f t="shared" si="90"/>
        <v/>
      </c>
      <c r="AU408" s="609" t="str">
        <f t="shared" si="90"/>
        <v/>
      </c>
      <c r="AV408" s="609" t="str">
        <f t="shared" si="90"/>
        <v/>
      </c>
      <c r="AW408" s="609" t="str">
        <f t="shared" si="90"/>
        <v/>
      </c>
      <c r="AX408" s="609" t="str">
        <f t="shared" si="90"/>
        <v/>
      </c>
      <c r="AY408" s="609" t="str">
        <f t="shared" si="90"/>
        <v/>
      </c>
      <c r="AZ408" s="609" t="str">
        <f t="shared" si="90"/>
        <v/>
      </c>
      <c r="BA408" s="609" t="str">
        <f t="shared" si="90"/>
        <v/>
      </c>
      <c r="BB408" s="609" t="str">
        <f t="shared" si="90"/>
        <v/>
      </c>
      <c r="BC408" s="609" t="str">
        <f t="shared" si="89"/>
        <v/>
      </c>
      <c r="BD408" s="609" t="str">
        <f t="shared" si="89"/>
        <v/>
      </c>
      <c r="BE408" s="609" t="str">
        <f t="shared" si="89"/>
        <v/>
      </c>
      <c r="BF408" s="609" t="str">
        <f t="shared" si="89"/>
        <v/>
      </c>
      <c r="BG408" s="609" t="str">
        <f t="shared" si="89"/>
        <v/>
      </c>
    </row>
    <row r="409" spans="2:59" x14ac:dyDescent="0.25">
      <c r="B409" s="654">
        <v>403</v>
      </c>
      <c r="C409" s="654"/>
      <c r="D409" s="654"/>
      <c r="E409" s="655"/>
      <c r="F409" s="654"/>
      <c r="H409" s="609" t="str">
        <f t="shared" si="92"/>
        <v/>
      </c>
      <c r="I409" s="609" t="str">
        <f t="shared" si="92"/>
        <v/>
      </c>
      <c r="J409" s="609" t="str">
        <f t="shared" si="92"/>
        <v/>
      </c>
      <c r="K409" s="609" t="str">
        <f t="shared" si="92"/>
        <v/>
      </c>
      <c r="L409" s="609" t="str">
        <f t="shared" si="92"/>
        <v/>
      </c>
      <c r="M409" s="609" t="str">
        <f t="shared" si="92"/>
        <v/>
      </c>
      <c r="N409" s="609" t="str">
        <f t="shared" si="92"/>
        <v/>
      </c>
      <c r="O409" s="609" t="str">
        <f t="shared" si="92"/>
        <v/>
      </c>
      <c r="P409" s="609" t="str">
        <f t="shared" si="92"/>
        <v/>
      </c>
      <c r="Q409" s="609" t="str">
        <f t="shared" si="92"/>
        <v/>
      </c>
      <c r="R409" s="609" t="str">
        <f t="shared" si="92"/>
        <v/>
      </c>
      <c r="S409" s="609" t="str">
        <f t="shared" si="92"/>
        <v/>
      </c>
      <c r="T409" s="609" t="str">
        <f t="shared" si="92"/>
        <v/>
      </c>
      <c r="U409" s="609" t="str">
        <f t="shared" si="92"/>
        <v/>
      </c>
      <c r="V409" s="609" t="str">
        <f t="shared" si="92"/>
        <v/>
      </c>
      <c r="W409" s="609" t="str">
        <f t="shared" si="92"/>
        <v/>
      </c>
      <c r="X409" s="609" t="str">
        <f t="shared" si="91"/>
        <v/>
      </c>
      <c r="Y409" s="609" t="str">
        <f t="shared" si="91"/>
        <v/>
      </c>
      <c r="Z409" s="609" t="str">
        <f t="shared" si="91"/>
        <v/>
      </c>
      <c r="AA409" s="609" t="str">
        <f t="shared" si="91"/>
        <v/>
      </c>
      <c r="AB409" s="609" t="str">
        <f t="shared" si="91"/>
        <v/>
      </c>
      <c r="AC409" s="609" t="str">
        <f t="shared" si="91"/>
        <v/>
      </c>
      <c r="AD409" s="609" t="str">
        <f t="shared" si="91"/>
        <v/>
      </c>
      <c r="AE409" s="609" t="str">
        <f t="shared" si="91"/>
        <v/>
      </c>
      <c r="AF409" s="609" t="str">
        <f t="shared" si="91"/>
        <v/>
      </c>
      <c r="AG409" s="609" t="str">
        <f t="shared" si="91"/>
        <v/>
      </c>
      <c r="AH409" s="609" t="str">
        <f t="shared" si="91"/>
        <v/>
      </c>
      <c r="AI409" s="609" t="str">
        <f t="shared" si="91"/>
        <v/>
      </c>
      <c r="AJ409" s="609" t="str">
        <f t="shared" si="91"/>
        <v/>
      </c>
      <c r="AK409" s="609" t="str">
        <f t="shared" si="91"/>
        <v/>
      </c>
      <c r="AL409" s="609" t="str">
        <f t="shared" si="91"/>
        <v/>
      </c>
      <c r="AM409" s="609" t="str">
        <f t="shared" si="90"/>
        <v/>
      </c>
      <c r="AN409" s="609" t="str">
        <f t="shared" si="90"/>
        <v/>
      </c>
      <c r="AO409" s="609" t="str">
        <f t="shared" si="90"/>
        <v/>
      </c>
      <c r="AP409" s="609" t="str">
        <f t="shared" si="90"/>
        <v/>
      </c>
      <c r="AQ409" s="609" t="str">
        <f t="shared" si="90"/>
        <v/>
      </c>
      <c r="AR409" s="609" t="str">
        <f t="shared" si="90"/>
        <v/>
      </c>
      <c r="AS409" s="609" t="str">
        <f t="shared" si="90"/>
        <v/>
      </c>
      <c r="AT409" s="609" t="str">
        <f t="shared" si="90"/>
        <v/>
      </c>
      <c r="AU409" s="609" t="str">
        <f t="shared" si="90"/>
        <v/>
      </c>
      <c r="AV409" s="609" t="str">
        <f t="shared" si="90"/>
        <v/>
      </c>
      <c r="AW409" s="609" t="str">
        <f t="shared" si="90"/>
        <v/>
      </c>
      <c r="AX409" s="609" t="str">
        <f t="shared" si="90"/>
        <v/>
      </c>
      <c r="AY409" s="609" t="str">
        <f t="shared" si="90"/>
        <v/>
      </c>
      <c r="AZ409" s="609" t="str">
        <f t="shared" si="90"/>
        <v/>
      </c>
      <c r="BA409" s="609" t="str">
        <f t="shared" si="90"/>
        <v/>
      </c>
      <c r="BB409" s="609" t="str">
        <f t="shared" si="90"/>
        <v/>
      </c>
      <c r="BC409" s="609" t="str">
        <f t="shared" si="89"/>
        <v/>
      </c>
      <c r="BD409" s="609" t="str">
        <f t="shared" si="89"/>
        <v/>
      </c>
      <c r="BE409" s="609" t="str">
        <f t="shared" si="89"/>
        <v/>
      </c>
      <c r="BF409" s="609" t="str">
        <f t="shared" si="89"/>
        <v/>
      </c>
      <c r="BG409" s="609" t="str">
        <f t="shared" si="89"/>
        <v/>
      </c>
    </row>
    <row r="410" spans="2:59" x14ac:dyDescent="0.25">
      <c r="B410" s="654">
        <v>404</v>
      </c>
      <c r="C410" s="654"/>
      <c r="D410" s="654"/>
      <c r="E410" s="655"/>
      <c r="F410" s="654"/>
      <c r="H410" s="609" t="str">
        <f t="shared" si="92"/>
        <v/>
      </c>
      <c r="I410" s="609" t="str">
        <f t="shared" si="92"/>
        <v/>
      </c>
      <c r="J410" s="609" t="str">
        <f t="shared" si="92"/>
        <v/>
      </c>
      <c r="K410" s="609" t="str">
        <f t="shared" si="92"/>
        <v/>
      </c>
      <c r="L410" s="609" t="str">
        <f t="shared" si="92"/>
        <v/>
      </c>
      <c r="M410" s="609" t="str">
        <f t="shared" si="92"/>
        <v/>
      </c>
      <c r="N410" s="609" t="str">
        <f t="shared" si="92"/>
        <v/>
      </c>
      <c r="O410" s="609" t="str">
        <f t="shared" si="92"/>
        <v/>
      </c>
      <c r="P410" s="609" t="str">
        <f t="shared" si="92"/>
        <v/>
      </c>
      <c r="Q410" s="609" t="str">
        <f t="shared" si="92"/>
        <v/>
      </c>
      <c r="R410" s="609" t="str">
        <f t="shared" si="92"/>
        <v/>
      </c>
      <c r="S410" s="609" t="str">
        <f t="shared" si="92"/>
        <v/>
      </c>
      <c r="T410" s="609" t="str">
        <f t="shared" si="92"/>
        <v/>
      </c>
      <c r="U410" s="609" t="str">
        <f t="shared" si="92"/>
        <v/>
      </c>
      <c r="V410" s="609" t="str">
        <f t="shared" si="92"/>
        <v/>
      </c>
      <c r="W410" s="609" t="str">
        <f t="shared" si="92"/>
        <v/>
      </c>
      <c r="X410" s="609" t="str">
        <f t="shared" si="91"/>
        <v/>
      </c>
      <c r="Y410" s="609" t="str">
        <f t="shared" si="91"/>
        <v/>
      </c>
      <c r="Z410" s="609" t="str">
        <f t="shared" si="91"/>
        <v/>
      </c>
      <c r="AA410" s="609" t="str">
        <f t="shared" si="91"/>
        <v/>
      </c>
      <c r="AB410" s="609" t="str">
        <f t="shared" si="91"/>
        <v/>
      </c>
      <c r="AC410" s="609" t="str">
        <f t="shared" si="91"/>
        <v/>
      </c>
      <c r="AD410" s="609" t="str">
        <f t="shared" si="91"/>
        <v/>
      </c>
      <c r="AE410" s="609" t="str">
        <f t="shared" si="91"/>
        <v/>
      </c>
      <c r="AF410" s="609" t="str">
        <f t="shared" si="91"/>
        <v/>
      </c>
      <c r="AG410" s="609" t="str">
        <f t="shared" si="91"/>
        <v/>
      </c>
      <c r="AH410" s="609" t="str">
        <f t="shared" si="91"/>
        <v/>
      </c>
      <c r="AI410" s="609" t="str">
        <f t="shared" si="91"/>
        <v/>
      </c>
      <c r="AJ410" s="609" t="str">
        <f t="shared" si="91"/>
        <v/>
      </c>
      <c r="AK410" s="609" t="str">
        <f t="shared" si="91"/>
        <v/>
      </c>
      <c r="AL410" s="609" t="str">
        <f t="shared" si="91"/>
        <v/>
      </c>
      <c r="AM410" s="609" t="str">
        <f t="shared" si="90"/>
        <v/>
      </c>
      <c r="AN410" s="609" t="str">
        <f t="shared" si="90"/>
        <v/>
      </c>
      <c r="AO410" s="609" t="str">
        <f t="shared" si="90"/>
        <v/>
      </c>
      <c r="AP410" s="609" t="str">
        <f t="shared" si="90"/>
        <v/>
      </c>
      <c r="AQ410" s="609" t="str">
        <f t="shared" si="90"/>
        <v/>
      </c>
      <c r="AR410" s="609" t="str">
        <f t="shared" si="90"/>
        <v/>
      </c>
      <c r="AS410" s="609" t="str">
        <f t="shared" si="90"/>
        <v/>
      </c>
      <c r="AT410" s="609" t="str">
        <f t="shared" si="90"/>
        <v/>
      </c>
      <c r="AU410" s="609" t="str">
        <f t="shared" si="90"/>
        <v/>
      </c>
      <c r="AV410" s="609" t="str">
        <f t="shared" si="90"/>
        <v/>
      </c>
      <c r="AW410" s="609" t="str">
        <f t="shared" si="90"/>
        <v/>
      </c>
      <c r="AX410" s="609" t="str">
        <f t="shared" si="90"/>
        <v/>
      </c>
      <c r="AY410" s="609" t="str">
        <f t="shared" si="90"/>
        <v/>
      </c>
      <c r="AZ410" s="609" t="str">
        <f t="shared" si="90"/>
        <v/>
      </c>
      <c r="BA410" s="609" t="str">
        <f t="shared" si="90"/>
        <v/>
      </c>
      <c r="BB410" s="609" t="str">
        <f t="shared" ref="BB410:BG425" si="93">IF($D410=BB$6,$B410&amp;", ","")</f>
        <v/>
      </c>
      <c r="BC410" s="609" t="str">
        <f t="shared" si="93"/>
        <v/>
      </c>
      <c r="BD410" s="609" t="str">
        <f t="shared" si="93"/>
        <v/>
      </c>
      <c r="BE410" s="609" t="str">
        <f t="shared" si="93"/>
        <v/>
      </c>
      <c r="BF410" s="609" t="str">
        <f t="shared" si="93"/>
        <v/>
      </c>
      <c r="BG410" s="609" t="str">
        <f t="shared" si="93"/>
        <v/>
      </c>
    </row>
    <row r="411" spans="2:59" x14ac:dyDescent="0.25">
      <c r="B411" s="654">
        <v>405</v>
      </c>
      <c r="C411" s="654"/>
      <c r="D411" s="654"/>
      <c r="E411" s="655"/>
      <c r="F411" s="654"/>
      <c r="H411" s="609" t="str">
        <f t="shared" si="92"/>
        <v/>
      </c>
      <c r="I411" s="609" t="str">
        <f t="shared" si="92"/>
        <v/>
      </c>
      <c r="J411" s="609" t="str">
        <f t="shared" si="92"/>
        <v/>
      </c>
      <c r="K411" s="609" t="str">
        <f t="shared" si="92"/>
        <v/>
      </c>
      <c r="L411" s="609" t="str">
        <f t="shared" si="92"/>
        <v/>
      </c>
      <c r="M411" s="609" t="str">
        <f t="shared" si="92"/>
        <v/>
      </c>
      <c r="N411" s="609" t="str">
        <f t="shared" si="92"/>
        <v/>
      </c>
      <c r="O411" s="609" t="str">
        <f t="shared" si="92"/>
        <v/>
      </c>
      <c r="P411" s="609" t="str">
        <f t="shared" si="92"/>
        <v/>
      </c>
      <c r="Q411" s="609" t="str">
        <f t="shared" si="92"/>
        <v/>
      </c>
      <c r="R411" s="609" t="str">
        <f t="shared" si="92"/>
        <v/>
      </c>
      <c r="S411" s="609" t="str">
        <f t="shared" si="92"/>
        <v/>
      </c>
      <c r="T411" s="609" t="str">
        <f t="shared" si="92"/>
        <v/>
      </c>
      <c r="U411" s="609" t="str">
        <f t="shared" si="92"/>
        <v/>
      </c>
      <c r="V411" s="609" t="str">
        <f t="shared" si="92"/>
        <v/>
      </c>
      <c r="W411" s="609" t="str">
        <f t="shared" si="92"/>
        <v/>
      </c>
      <c r="X411" s="609" t="str">
        <f t="shared" si="91"/>
        <v/>
      </c>
      <c r="Y411" s="609" t="str">
        <f t="shared" si="91"/>
        <v/>
      </c>
      <c r="Z411" s="609" t="str">
        <f t="shared" si="91"/>
        <v/>
      </c>
      <c r="AA411" s="609" t="str">
        <f t="shared" si="91"/>
        <v/>
      </c>
      <c r="AB411" s="609" t="str">
        <f t="shared" si="91"/>
        <v/>
      </c>
      <c r="AC411" s="609" t="str">
        <f t="shared" si="91"/>
        <v/>
      </c>
      <c r="AD411" s="609" t="str">
        <f t="shared" si="91"/>
        <v/>
      </c>
      <c r="AE411" s="609" t="str">
        <f t="shared" si="91"/>
        <v/>
      </c>
      <c r="AF411" s="609" t="str">
        <f t="shared" si="91"/>
        <v/>
      </c>
      <c r="AG411" s="609" t="str">
        <f t="shared" si="91"/>
        <v/>
      </c>
      <c r="AH411" s="609" t="str">
        <f t="shared" si="91"/>
        <v/>
      </c>
      <c r="AI411" s="609" t="str">
        <f t="shared" si="91"/>
        <v/>
      </c>
      <c r="AJ411" s="609" t="str">
        <f t="shared" si="91"/>
        <v/>
      </c>
      <c r="AK411" s="609" t="str">
        <f t="shared" si="91"/>
        <v/>
      </c>
      <c r="AL411" s="609" t="str">
        <f t="shared" si="91"/>
        <v/>
      </c>
      <c r="AM411" s="609" t="str">
        <f t="shared" ref="AM411:BB426" si="94">IF($D411=AM$6,$B411&amp;", ","")</f>
        <v/>
      </c>
      <c r="AN411" s="609" t="str">
        <f t="shared" si="94"/>
        <v/>
      </c>
      <c r="AO411" s="609" t="str">
        <f t="shared" si="94"/>
        <v/>
      </c>
      <c r="AP411" s="609" t="str">
        <f t="shared" si="94"/>
        <v/>
      </c>
      <c r="AQ411" s="609" t="str">
        <f t="shared" si="94"/>
        <v/>
      </c>
      <c r="AR411" s="609" t="str">
        <f t="shared" si="94"/>
        <v/>
      </c>
      <c r="AS411" s="609" t="str">
        <f t="shared" si="94"/>
        <v/>
      </c>
      <c r="AT411" s="609" t="str">
        <f t="shared" si="94"/>
        <v/>
      </c>
      <c r="AU411" s="609" t="str">
        <f t="shared" si="94"/>
        <v/>
      </c>
      <c r="AV411" s="609" t="str">
        <f t="shared" si="94"/>
        <v/>
      </c>
      <c r="AW411" s="609" t="str">
        <f t="shared" si="94"/>
        <v/>
      </c>
      <c r="AX411" s="609" t="str">
        <f t="shared" si="94"/>
        <v/>
      </c>
      <c r="AY411" s="609" t="str">
        <f t="shared" si="94"/>
        <v/>
      </c>
      <c r="AZ411" s="609" t="str">
        <f t="shared" si="94"/>
        <v/>
      </c>
      <c r="BA411" s="609" t="str">
        <f t="shared" si="94"/>
        <v/>
      </c>
      <c r="BB411" s="609" t="str">
        <f t="shared" si="94"/>
        <v/>
      </c>
      <c r="BC411" s="609" t="str">
        <f t="shared" si="93"/>
        <v/>
      </c>
      <c r="BD411" s="609" t="str">
        <f t="shared" si="93"/>
        <v/>
      </c>
      <c r="BE411" s="609" t="str">
        <f t="shared" si="93"/>
        <v/>
      </c>
      <c r="BF411" s="609" t="str">
        <f t="shared" si="93"/>
        <v/>
      </c>
      <c r="BG411" s="609" t="str">
        <f t="shared" si="93"/>
        <v/>
      </c>
    </row>
    <row r="412" spans="2:59" x14ac:dyDescent="0.25">
      <c r="B412" s="654">
        <v>406</v>
      </c>
      <c r="C412" s="654"/>
      <c r="D412" s="654"/>
      <c r="E412" s="655"/>
      <c r="F412" s="654"/>
      <c r="H412" s="609" t="str">
        <f t="shared" si="92"/>
        <v/>
      </c>
      <c r="I412" s="609" t="str">
        <f t="shared" si="92"/>
        <v/>
      </c>
      <c r="J412" s="609" t="str">
        <f t="shared" si="92"/>
        <v/>
      </c>
      <c r="K412" s="609" t="str">
        <f t="shared" si="92"/>
        <v/>
      </c>
      <c r="L412" s="609" t="str">
        <f t="shared" si="92"/>
        <v/>
      </c>
      <c r="M412" s="609" t="str">
        <f t="shared" si="92"/>
        <v/>
      </c>
      <c r="N412" s="609" t="str">
        <f t="shared" si="92"/>
        <v/>
      </c>
      <c r="O412" s="609" t="str">
        <f t="shared" si="92"/>
        <v/>
      </c>
      <c r="P412" s="609" t="str">
        <f t="shared" si="92"/>
        <v/>
      </c>
      <c r="Q412" s="609" t="str">
        <f t="shared" si="92"/>
        <v/>
      </c>
      <c r="R412" s="609" t="str">
        <f t="shared" si="92"/>
        <v/>
      </c>
      <c r="S412" s="609" t="str">
        <f t="shared" si="92"/>
        <v/>
      </c>
      <c r="T412" s="609" t="str">
        <f t="shared" si="92"/>
        <v/>
      </c>
      <c r="U412" s="609" t="str">
        <f t="shared" si="92"/>
        <v/>
      </c>
      <c r="V412" s="609" t="str">
        <f t="shared" si="92"/>
        <v/>
      </c>
      <c r="W412" s="609" t="str">
        <f t="shared" si="92"/>
        <v/>
      </c>
      <c r="X412" s="609" t="str">
        <f t="shared" si="91"/>
        <v/>
      </c>
      <c r="Y412" s="609" t="str">
        <f t="shared" si="91"/>
        <v/>
      </c>
      <c r="Z412" s="609" t="str">
        <f t="shared" si="91"/>
        <v/>
      </c>
      <c r="AA412" s="609" t="str">
        <f t="shared" si="91"/>
        <v/>
      </c>
      <c r="AB412" s="609" t="str">
        <f t="shared" si="91"/>
        <v/>
      </c>
      <c r="AC412" s="609" t="str">
        <f t="shared" si="91"/>
        <v/>
      </c>
      <c r="AD412" s="609" t="str">
        <f t="shared" si="91"/>
        <v/>
      </c>
      <c r="AE412" s="609" t="str">
        <f t="shared" si="91"/>
        <v/>
      </c>
      <c r="AF412" s="609" t="str">
        <f t="shared" si="91"/>
        <v/>
      </c>
      <c r="AG412" s="609" t="str">
        <f t="shared" si="91"/>
        <v/>
      </c>
      <c r="AH412" s="609" t="str">
        <f t="shared" si="91"/>
        <v/>
      </c>
      <c r="AI412" s="609" t="str">
        <f t="shared" si="91"/>
        <v/>
      </c>
      <c r="AJ412" s="609" t="str">
        <f t="shared" si="91"/>
        <v/>
      </c>
      <c r="AK412" s="609" t="str">
        <f t="shared" si="91"/>
        <v/>
      </c>
      <c r="AL412" s="609" t="str">
        <f t="shared" si="91"/>
        <v/>
      </c>
      <c r="AM412" s="609" t="str">
        <f t="shared" si="94"/>
        <v/>
      </c>
      <c r="AN412" s="609" t="str">
        <f t="shared" si="94"/>
        <v/>
      </c>
      <c r="AO412" s="609" t="str">
        <f t="shared" si="94"/>
        <v/>
      </c>
      <c r="AP412" s="609" t="str">
        <f t="shared" si="94"/>
        <v/>
      </c>
      <c r="AQ412" s="609" t="str">
        <f t="shared" si="94"/>
        <v/>
      </c>
      <c r="AR412" s="609" t="str">
        <f t="shared" si="94"/>
        <v/>
      </c>
      <c r="AS412" s="609" t="str">
        <f t="shared" si="94"/>
        <v/>
      </c>
      <c r="AT412" s="609" t="str">
        <f t="shared" si="94"/>
        <v/>
      </c>
      <c r="AU412" s="609" t="str">
        <f t="shared" si="94"/>
        <v/>
      </c>
      <c r="AV412" s="609" t="str">
        <f t="shared" si="94"/>
        <v/>
      </c>
      <c r="AW412" s="609" t="str">
        <f t="shared" si="94"/>
        <v/>
      </c>
      <c r="AX412" s="609" t="str">
        <f t="shared" si="94"/>
        <v/>
      </c>
      <c r="AY412" s="609" t="str">
        <f t="shared" si="94"/>
        <v/>
      </c>
      <c r="AZ412" s="609" t="str">
        <f t="shared" si="94"/>
        <v/>
      </c>
      <c r="BA412" s="609" t="str">
        <f t="shared" si="94"/>
        <v/>
      </c>
      <c r="BB412" s="609" t="str">
        <f t="shared" si="94"/>
        <v/>
      </c>
      <c r="BC412" s="609" t="str">
        <f t="shared" si="93"/>
        <v/>
      </c>
      <c r="BD412" s="609" t="str">
        <f t="shared" si="93"/>
        <v/>
      </c>
      <c r="BE412" s="609" t="str">
        <f t="shared" si="93"/>
        <v/>
      </c>
      <c r="BF412" s="609" t="str">
        <f t="shared" si="93"/>
        <v/>
      </c>
      <c r="BG412" s="609" t="str">
        <f t="shared" si="93"/>
        <v/>
      </c>
    </row>
    <row r="413" spans="2:59" x14ac:dyDescent="0.25">
      <c r="B413" s="654">
        <v>407</v>
      </c>
      <c r="C413" s="654"/>
      <c r="D413" s="654"/>
      <c r="E413" s="655"/>
      <c r="F413" s="654"/>
      <c r="H413" s="609" t="str">
        <f t="shared" si="92"/>
        <v/>
      </c>
      <c r="I413" s="609" t="str">
        <f t="shared" si="92"/>
        <v/>
      </c>
      <c r="J413" s="609" t="str">
        <f t="shared" si="92"/>
        <v/>
      </c>
      <c r="K413" s="609" t="str">
        <f t="shared" si="92"/>
        <v/>
      </c>
      <c r="L413" s="609" t="str">
        <f t="shared" si="92"/>
        <v/>
      </c>
      <c r="M413" s="609" t="str">
        <f t="shared" si="92"/>
        <v/>
      </c>
      <c r="N413" s="609" t="str">
        <f t="shared" si="92"/>
        <v/>
      </c>
      <c r="O413" s="609" t="str">
        <f t="shared" si="92"/>
        <v/>
      </c>
      <c r="P413" s="609" t="str">
        <f t="shared" si="92"/>
        <v/>
      </c>
      <c r="Q413" s="609" t="str">
        <f t="shared" si="92"/>
        <v/>
      </c>
      <c r="R413" s="609" t="str">
        <f t="shared" si="92"/>
        <v/>
      </c>
      <c r="S413" s="609" t="str">
        <f t="shared" si="92"/>
        <v/>
      </c>
      <c r="T413" s="609" t="str">
        <f t="shared" si="92"/>
        <v/>
      </c>
      <c r="U413" s="609" t="str">
        <f t="shared" si="92"/>
        <v/>
      </c>
      <c r="V413" s="609" t="str">
        <f t="shared" si="92"/>
        <v/>
      </c>
      <c r="W413" s="609" t="str">
        <f t="shared" si="92"/>
        <v/>
      </c>
      <c r="X413" s="609" t="str">
        <f t="shared" si="91"/>
        <v/>
      </c>
      <c r="Y413" s="609" t="str">
        <f t="shared" si="91"/>
        <v/>
      </c>
      <c r="Z413" s="609" t="str">
        <f t="shared" si="91"/>
        <v/>
      </c>
      <c r="AA413" s="609" t="str">
        <f t="shared" si="91"/>
        <v/>
      </c>
      <c r="AB413" s="609" t="str">
        <f t="shared" si="91"/>
        <v/>
      </c>
      <c r="AC413" s="609" t="str">
        <f t="shared" si="91"/>
        <v/>
      </c>
      <c r="AD413" s="609" t="str">
        <f t="shared" si="91"/>
        <v/>
      </c>
      <c r="AE413" s="609" t="str">
        <f t="shared" si="91"/>
        <v/>
      </c>
      <c r="AF413" s="609" t="str">
        <f t="shared" si="91"/>
        <v/>
      </c>
      <c r="AG413" s="609" t="str">
        <f t="shared" si="91"/>
        <v/>
      </c>
      <c r="AH413" s="609" t="str">
        <f t="shared" si="91"/>
        <v/>
      </c>
      <c r="AI413" s="609" t="str">
        <f t="shared" si="91"/>
        <v/>
      </c>
      <c r="AJ413" s="609" t="str">
        <f t="shared" si="91"/>
        <v/>
      </c>
      <c r="AK413" s="609" t="str">
        <f t="shared" si="91"/>
        <v/>
      </c>
      <c r="AL413" s="609" t="str">
        <f t="shared" si="91"/>
        <v/>
      </c>
      <c r="AM413" s="609" t="str">
        <f t="shared" si="94"/>
        <v/>
      </c>
      <c r="AN413" s="609" t="str">
        <f t="shared" si="94"/>
        <v/>
      </c>
      <c r="AO413" s="609" t="str">
        <f t="shared" si="94"/>
        <v/>
      </c>
      <c r="AP413" s="609" t="str">
        <f t="shared" si="94"/>
        <v/>
      </c>
      <c r="AQ413" s="609" t="str">
        <f t="shared" si="94"/>
        <v/>
      </c>
      <c r="AR413" s="609" t="str">
        <f t="shared" si="94"/>
        <v/>
      </c>
      <c r="AS413" s="609" t="str">
        <f t="shared" si="94"/>
        <v/>
      </c>
      <c r="AT413" s="609" t="str">
        <f t="shared" si="94"/>
        <v/>
      </c>
      <c r="AU413" s="609" t="str">
        <f t="shared" si="94"/>
        <v/>
      </c>
      <c r="AV413" s="609" t="str">
        <f t="shared" si="94"/>
        <v/>
      </c>
      <c r="AW413" s="609" t="str">
        <f t="shared" si="94"/>
        <v/>
      </c>
      <c r="AX413" s="609" t="str">
        <f t="shared" si="94"/>
        <v/>
      </c>
      <c r="AY413" s="609" t="str">
        <f t="shared" si="94"/>
        <v/>
      </c>
      <c r="AZ413" s="609" t="str">
        <f t="shared" si="94"/>
        <v/>
      </c>
      <c r="BA413" s="609" t="str">
        <f t="shared" si="94"/>
        <v/>
      </c>
      <c r="BB413" s="609" t="str">
        <f t="shared" si="94"/>
        <v/>
      </c>
      <c r="BC413" s="609" t="str">
        <f t="shared" si="93"/>
        <v/>
      </c>
      <c r="BD413" s="609" t="str">
        <f t="shared" si="93"/>
        <v/>
      </c>
      <c r="BE413" s="609" t="str">
        <f t="shared" si="93"/>
        <v/>
      </c>
      <c r="BF413" s="609" t="str">
        <f t="shared" si="93"/>
        <v/>
      </c>
      <c r="BG413" s="609" t="str">
        <f t="shared" si="93"/>
        <v/>
      </c>
    </row>
    <row r="414" spans="2:59" x14ac:dyDescent="0.25">
      <c r="B414" s="654">
        <v>408</v>
      </c>
      <c r="C414" s="654"/>
      <c r="D414" s="654"/>
      <c r="E414" s="655"/>
      <c r="F414" s="654"/>
      <c r="H414" s="609" t="str">
        <f t="shared" si="92"/>
        <v/>
      </c>
      <c r="I414" s="609" t="str">
        <f t="shared" si="92"/>
        <v/>
      </c>
      <c r="J414" s="609" t="str">
        <f t="shared" si="92"/>
        <v/>
      </c>
      <c r="K414" s="609" t="str">
        <f t="shared" si="92"/>
        <v/>
      </c>
      <c r="L414" s="609" t="str">
        <f t="shared" si="92"/>
        <v/>
      </c>
      <c r="M414" s="609" t="str">
        <f t="shared" si="92"/>
        <v/>
      </c>
      <c r="N414" s="609" t="str">
        <f t="shared" si="92"/>
        <v/>
      </c>
      <c r="O414" s="609" t="str">
        <f t="shared" si="92"/>
        <v/>
      </c>
      <c r="P414" s="609" t="str">
        <f t="shared" si="92"/>
        <v/>
      </c>
      <c r="Q414" s="609" t="str">
        <f t="shared" si="92"/>
        <v/>
      </c>
      <c r="R414" s="609" t="str">
        <f t="shared" si="92"/>
        <v/>
      </c>
      <c r="S414" s="609" t="str">
        <f t="shared" si="92"/>
        <v/>
      </c>
      <c r="T414" s="609" t="str">
        <f t="shared" si="92"/>
        <v/>
      </c>
      <c r="U414" s="609" t="str">
        <f t="shared" si="92"/>
        <v/>
      </c>
      <c r="V414" s="609" t="str">
        <f t="shared" si="92"/>
        <v/>
      </c>
      <c r="W414" s="609" t="str">
        <f t="shared" si="92"/>
        <v/>
      </c>
      <c r="X414" s="609" t="str">
        <f t="shared" si="91"/>
        <v/>
      </c>
      <c r="Y414" s="609" t="str">
        <f t="shared" si="91"/>
        <v/>
      </c>
      <c r="Z414" s="609" t="str">
        <f t="shared" si="91"/>
        <v/>
      </c>
      <c r="AA414" s="609" t="str">
        <f t="shared" si="91"/>
        <v/>
      </c>
      <c r="AB414" s="609" t="str">
        <f t="shared" si="91"/>
        <v/>
      </c>
      <c r="AC414" s="609" t="str">
        <f t="shared" si="91"/>
        <v/>
      </c>
      <c r="AD414" s="609" t="str">
        <f t="shared" si="91"/>
        <v/>
      </c>
      <c r="AE414" s="609" t="str">
        <f t="shared" si="91"/>
        <v/>
      </c>
      <c r="AF414" s="609" t="str">
        <f t="shared" si="91"/>
        <v/>
      </c>
      <c r="AG414" s="609" t="str">
        <f t="shared" si="91"/>
        <v/>
      </c>
      <c r="AH414" s="609" t="str">
        <f t="shared" si="91"/>
        <v/>
      </c>
      <c r="AI414" s="609" t="str">
        <f t="shared" si="91"/>
        <v/>
      </c>
      <c r="AJ414" s="609" t="str">
        <f t="shared" si="91"/>
        <v/>
      </c>
      <c r="AK414" s="609" t="str">
        <f t="shared" si="91"/>
        <v/>
      </c>
      <c r="AL414" s="609" t="str">
        <f t="shared" si="91"/>
        <v/>
      </c>
      <c r="AM414" s="609" t="str">
        <f t="shared" si="94"/>
        <v/>
      </c>
      <c r="AN414" s="609" t="str">
        <f t="shared" si="94"/>
        <v/>
      </c>
      <c r="AO414" s="609" t="str">
        <f t="shared" si="94"/>
        <v/>
      </c>
      <c r="AP414" s="609" t="str">
        <f t="shared" si="94"/>
        <v/>
      </c>
      <c r="AQ414" s="609" t="str">
        <f t="shared" si="94"/>
        <v/>
      </c>
      <c r="AR414" s="609" t="str">
        <f t="shared" si="94"/>
        <v/>
      </c>
      <c r="AS414" s="609" t="str">
        <f t="shared" si="94"/>
        <v/>
      </c>
      <c r="AT414" s="609" t="str">
        <f t="shared" si="94"/>
        <v/>
      </c>
      <c r="AU414" s="609" t="str">
        <f t="shared" si="94"/>
        <v/>
      </c>
      <c r="AV414" s="609" t="str">
        <f t="shared" si="94"/>
        <v/>
      </c>
      <c r="AW414" s="609" t="str">
        <f t="shared" si="94"/>
        <v/>
      </c>
      <c r="AX414" s="609" t="str">
        <f t="shared" si="94"/>
        <v/>
      </c>
      <c r="AY414" s="609" t="str">
        <f t="shared" si="94"/>
        <v/>
      </c>
      <c r="AZ414" s="609" t="str">
        <f t="shared" si="94"/>
        <v/>
      </c>
      <c r="BA414" s="609" t="str">
        <f t="shared" si="94"/>
        <v/>
      </c>
      <c r="BB414" s="609" t="str">
        <f t="shared" si="94"/>
        <v/>
      </c>
      <c r="BC414" s="609" t="str">
        <f t="shared" si="93"/>
        <v/>
      </c>
      <c r="BD414" s="609" t="str">
        <f t="shared" si="93"/>
        <v/>
      </c>
      <c r="BE414" s="609" t="str">
        <f t="shared" si="93"/>
        <v/>
      </c>
      <c r="BF414" s="609" t="str">
        <f t="shared" si="93"/>
        <v/>
      </c>
      <c r="BG414" s="609" t="str">
        <f t="shared" si="93"/>
        <v/>
      </c>
    </row>
    <row r="415" spans="2:59" x14ac:dyDescent="0.25">
      <c r="B415" s="654">
        <v>409</v>
      </c>
      <c r="C415" s="654"/>
      <c r="D415" s="654"/>
      <c r="E415" s="655"/>
      <c r="F415" s="654"/>
      <c r="H415" s="609" t="str">
        <f t="shared" si="92"/>
        <v/>
      </c>
      <c r="I415" s="609" t="str">
        <f t="shared" si="92"/>
        <v/>
      </c>
      <c r="J415" s="609" t="str">
        <f t="shared" si="92"/>
        <v/>
      </c>
      <c r="K415" s="609" t="str">
        <f t="shared" si="92"/>
        <v/>
      </c>
      <c r="L415" s="609" t="str">
        <f t="shared" si="92"/>
        <v/>
      </c>
      <c r="M415" s="609" t="str">
        <f t="shared" si="92"/>
        <v/>
      </c>
      <c r="N415" s="609" t="str">
        <f t="shared" si="92"/>
        <v/>
      </c>
      <c r="O415" s="609" t="str">
        <f t="shared" si="92"/>
        <v/>
      </c>
      <c r="P415" s="609" t="str">
        <f t="shared" si="92"/>
        <v/>
      </c>
      <c r="Q415" s="609" t="str">
        <f t="shared" si="92"/>
        <v/>
      </c>
      <c r="R415" s="609" t="str">
        <f t="shared" si="92"/>
        <v/>
      </c>
      <c r="S415" s="609" t="str">
        <f t="shared" si="92"/>
        <v/>
      </c>
      <c r="T415" s="609" t="str">
        <f t="shared" si="92"/>
        <v/>
      </c>
      <c r="U415" s="609" t="str">
        <f t="shared" si="92"/>
        <v/>
      </c>
      <c r="V415" s="609" t="str">
        <f t="shared" si="92"/>
        <v/>
      </c>
      <c r="W415" s="609" t="str">
        <f t="shared" si="92"/>
        <v/>
      </c>
      <c r="X415" s="609" t="str">
        <f t="shared" si="91"/>
        <v/>
      </c>
      <c r="Y415" s="609" t="str">
        <f t="shared" si="91"/>
        <v/>
      </c>
      <c r="Z415" s="609" t="str">
        <f t="shared" si="91"/>
        <v/>
      </c>
      <c r="AA415" s="609" t="str">
        <f t="shared" si="91"/>
        <v/>
      </c>
      <c r="AB415" s="609" t="str">
        <f t="shared" si="91"/>
        <v/>
      </c>
      <c r="AC415" s="609" t="str">
        <f t="shared" si="91"/>
        <v/>
      </c>
      <c r="AD415" s="609" t="str">
        <f t="shared" si="91"/>
        <v/>
      </c>
      <c r="AE415" s="609" t="str">
        <f t="shared" si="91"/>
        <v/>
      </c>
      <c r="AF415" s="609" t="str">
        <f t="shared" si="91"/>
        <v/>
      </c>
      <c r="AG415" s="609" t="str">
        <f t="shared" si="91"/>
        <v/>
      </c>
      <c r="AH415" s="609" t="str">
        <f t="shared" si="91"/>
        <v/>
      </c>
      <c r="AI415" s="609" t="str">
        <f t="shared" si="91"/>
        <v/>
      </c>
      <c r="AJ415" s="609" t="str">
        <f t="shared" si="91"/>
        <v/>
      </c>
      <c r="AK415" s="609" t="str">
        <f t="shared" si="91"/>
        <v/>
      </c>
      <c r="AL415" s="609" t="str">
        <f t="shared" si="91"/>
        <v/>
      </c>
      <c r="AM415" s="609" t="str">
        <f t="shared" si="94"/>
        <v/>
      </c>
      <c r="AN415" s="609" t="str">
        <f t="shared" si="94"/>
        <v/>
      </c>
      <c r="AO415" s="609" t="str">
        <f t="shared" si="94"/>
        <v/>
      </c>
      <c r="AP415" s="609" t="str">
        <f t="shared" si="94"/>
        <v/>
      </c>
      <c r="AQ415" s="609" t="str">
        <f t="shared" si="94"/>
        <v/>
      </c>
      <c r="AR415" s="609" t="str">
        <f t="shared" si="94"/>
        <v/>
      </c>
      <c r="AS415" s="609" t="str">
        <f t="shared" si="94"/>
        <v/>
      </c>
      <c r="AT415" s="609" t="str">
        <f t="shared" si="94"/>
        <v/>
      </c>
      <c r="AU415" s="609" t="str">
        <f t="shared" si="94"/>
        <v/>
      </c>
      <c r="AV415" s="609" t="str">
        <f t="shared" si="94"/>
        <v/>
      </c>
      <c r="AW415" s="609" t="str">
        <f t="shared" si="94"/>
        <v/>
      </c>
      <c r="AX415" s="609" t="str">
        <f t="shared" si="94"/>
        <v/>
      </c>
      <c r="AY415" s="609" t="str">
        <f t="shared" si="94"/>
        <v/>
      </c>
      <c r="AZ415" s="609" t="str">
        <f t="shared" si="94"/>
        <v/>
      </c>
      <c r="BA415" s="609" t="str">
        <f t="shared" si="94"/>
        <v/>
      </c>
      <c r="BB415" s="609" t="str">
        <f t="shared" si="94"/>
        <v/>
      </c>
      <c r="BC415" s="609" t="str">
        <f t="shared" si="93"/>
        <v/>
      </c>
      <c r="BD415" s="609" t="str">
        <f t="shared" si="93"/>
        <v/>
      </c>
      <c r="BE415" s="609" t="str">
        <f t="shared" si="93"/>
        <v/>
      </c>
      <c r="BF415" s="609" t="str">
        <f t="shared" si="93"/>
        <v/>
      </c>
      <c r="BG415" s="609" t="str">
        <f t="shared" si="93"/>
        <v/>
      </c>
    </row>
    <row r="416" spans="2:59" x14ac:dyDescent="0.25">
      <c r="B416" s="654">
        <v>410</v>
      </c>
      <c r="C416" s="654"/>
      <c r="D416" s="654"/>
      <c r="E416" s="655"/>
      <c r="F416" s="654"/>
      <c r="H416" s="609" t="str">
        <f t="shared" si="92"/>
        <v/>
      </c>
      <c r="I416" s="609" t="str">
        <f t="shared" si="92"/>
        <v/>
      </c>
      <c r="J416" s="609" t="str">
        <f t="shared" si="92"/>
        <v/>
      </c>
      <c r="K416" s="609" t="str">
        <f t="shared" si="92"/>
        <v/>
      </c>
      <c r="L416" s="609" t="str">
        <f t="shared" si="92"/>
        <v/>
      </c>
      <c r="M416" s="609" t="str">
        <f t="shared" si="92"/>
        <v/>
      </c>
      <c r="N416" s="609" t="str">
        <f t="shared" si="92"/>
        <v/>
      </c>
      <c r="O416" s="609" t="str">
        <f t="shared" si="92"/>
        <v/>
      </c>
      <c r="P416" s="609" t="str">
        <f t="shared" si="92"/>
        <v/>
      </c>
      <c r="Q416" s="609" t="str">
        <f t="shared" si="92"/>
        <v/>
      </c>
      <c r="R416" s="609" t="str">
        <f t="shared" si="92"/>
        <v/>
      </c>
      <c r="S416" s="609" t="str">
        <f t="shared" si="92"/>
        <v/>
      </c>
      <c r="T416" s="609" t="str">
        <f t="shared" si="92"/>
        <v/>
      </c>
      <c r="U416" s="609" t="str">
        <f t="shared" si="92"/>
        <v/>
      </c>
      <c r="V416" s="609" t="str">
        <f t="shared" si="92"/>
        <v/>
      </c>
      <c r="W416" s="609" t="str">
        <f t="shared" si="92"/>
        <v/>
      </c>
      <c r="X416" s="609" t="str">
        <f t="shared" si="91"/>
        <v/>
      </c>
      <c r="Y416" s="609" t="str">
        <f t="shared" si="91"/>
        <v/>
      </c>
      <c r="Z416" s="609" t="str">
        <f t="shared" si="91"/>
        <v/>
      </c>
      <c r="AA416" s="609" t="str">
        <f t="shared" si="91"/>
        <v/>
      </c>
      <c r="AB416" s="609" t="str">
        <f t="shared" si="91"/>
        <v/>
      </c>
      <c r="AC416" s="609" t="str">
        <f t="shared" si="91"/>
        <v/>
      </c>
      <c r="AD416" s="609" t="str">
        <f t="shared" si="91"/>
        <v/>
      </c>
      <c r="AE416" s="609" t="str">
        <f t="shared" si="91"/>
        <v/>
      </c>
      <c r="AF416" s="609" t="str">
        <f t="shared" si="91"/>
        <v/>
      </c>
      <c r="AG416" s="609" t="str">
        <f t="shared" si="91"/>
        <v/>
      </c>
      <c r="AH416" s="609" t="str">
        <f t="shared" si="91"/>
        <v/>
      </c>
      <c r="AI416" s="609" t="str">
        <f t="shared" si="91"/>
        <v/>
      </c>
      <c r="AJ416" s="609" t="str">
        <f t="shared" si="91"/>
        <v/>
      </c>
      <c r="AK416" s="609" t="str">
        <f t="shared" si="91"/>
        <v/>
      </c>
      <c r="AL416" s="609" t="str">
        <f t="shared" si="91"/>
        <v/>
      </c>
      <c r="AM416" s="609" t="str">
        <f t="shared" si="94"/>
        <v/>
      </c>
      <c r="AN416" s="609" t="str">
        <f t="shared" si="94"/>
        <v/>
      </c>
      <c r="AO416" s="609" t="str">
        <f t="shared" si="94"/>
        <v/>
      </c>
      <c r="AP416" s="609" t="str">
        <f t="shared" si="94"/>
        <v/>
      </c>
      <c r="AQ416" s="609" t="str">
        <f t="shared" si="94"/>
        <v/>
      </c>
      <c r="AR416" s="609" t="str">
        <f t="shared" si="94"/>
        <v/>
      </c>
      <c r="AS416" s="609" t="str">
        <f t="shared" si="94"/>
        <v/>
      </c>
      <c r="AT416" s="609" t="str">
        <f t="shared" si="94"/>
        <v/>
      </c>
      <c r="AU416" s="609" t="str">
        <f t="shared" si="94"/>
        <v/>
      </c>
      <c r="AV416" s="609" t="str">
        <f t="shared" si="94"/>
        <v/>
      </c>
      <c r="AW416" s="609" t="str">
        <f t="shared" si="94"/>
        <v/>
      </c>
      <c r="AX416" s="609" t="str">
        <f t="shared" si="94"/>
        <v/>
      </c>
      <c r="AY416" s="609" t="str">
        <f t="shared" si="94"/>
        <v/>
      </c>
      <c r="AZ416" s="609" t="str">
        <f t="shared" si="94"/>
        <v/>
      </c>
      <c r="BA416" s="609" t="str">
        <f t="shared" si="94"/>
        <v/>
      </c>
      <c r="BB416" s="609" t="str">
        <f t="shared" si="94"/>
        <v/>
      </c>
      <c r="BC416" s="609" t="str">
        <f t="shared" si="93"/>
        <v/>
      </c>
      <c r="BD416" s="609" t="str">
        <f t="shared" si="93"/>
        <v/>
      </c>
      <c r="BE416" s="609" t="str">
        <f t="shared" si="93"/>
        <v/>
      </c>
      <c r="BF416" s="609" t="str">
        <f t="shared" si="93"/>
        <v/>
      </c>
      <c r="BG416" s="609" t="str">
        <f t="shared" si="93"/>
        <v/>
      </c>
    </row>
    <row r="417" spans="2:59" x14ac:dyDescent="0.25">
      <c r="B417" s="654">
        <v>411</v>
      </c>
      <c r="C417" s="654"/>
      <c r="D417" s="654"/>
      <c r="E417" s="655"/>
      <c r="F417" s="654"/>
      <c r="H417" s="609" t="str">
        <f t="shared" si="92"/>
        <v/>
      </c>
      <c r="I417" s="609" t="str">
        <f t="shared" si="92"/>
        <v/>
      </c>
      <c r="J417" s="609" t="str">
        <f t="shared" si="92"/>
        <v/>
      </c>
      <c r="K417" s="609" t="str">
        <f t="shared" si="92"/>
        <v/>
      </c>
      <c r="L417" s="609" t="str">
        <f t="shared" si="92"/>
        <v/>
      </c>
      <c r="M417" s="609" t="str">
        <f t="shared" si="92"/>
        <v/>
      </c>
      <c r="N417" s="609" t="str">
        <f t="shared" si="92"/>
        <v/>
      </c>
      <c r="O417" s="609" t="str">
        <f t="shared" si="92"/>
        <v/>
      </c>
      <c r="P417" s="609" t="str">
        <f t="shared" si="92"/>
        <v/>
      </c>
      <c r="Q417" s="609" t="str">
        <f t="shared" si="92"/>
        <v/>
      </c>
      <c r="R417" s="609" t="str">
        <f t="shared" si="92"/>
        <v/>
      </c>
      <c r="S417" s="609" t="str">
        <f t="shared" si="92"/>
        <v/>
      </c>
      <c r="T417" s="609" t="str">
        <f t="shared" si="92"/>
        <v/>
      </c>
      <c r="U417" s="609" t="str">
        <f t="shared" si="92"/>
        <v/>
      </c>
      <c r="V417" s="609" t="str">
        <f t="shared" si="92"/>
        <v/>
      </c>
      <c r="W417" s="609" t="str">
        <f t="shared" si="92"/>
        <v/>
      </c>
      <c r="X417" s="609" t="str">
        <f t="shared" si="91"/>
        <v/>
      </c>
      <c r="Y417" s="609" t="str">
        <f t="shared" si="91"/>
        <v/>
      </c>
      <c r="Z417" s="609" t="str">
        <f t="shared" si="91"/>
        <v/>
      </c>
      <c r="AA417" s="609" t="str">
        <f t="shared" si="91"/>
        <v/>
      </c>
      <c r="AB417" s="609" t="str">
        <f t="shared" si="91"/>
        <v/>
      </c>
      <c r="AC417" s="609" t="str">
        <f t="shared" si="91"/>
        <v/>
      </c>
      <c r="AD417" s="609" t="str">
        <f t="shared" si="91"/>
        <v/>
      </c>
      <c r="AE417" s="609" t="str">
        <f t="shared" si="91"/>
        <v/>
      </c>
      <c r="AF417" s="609" t="str">
        <f t="shared" si="91"/>
        <v/>
      </c>
      <c r="AG417" s="609" t="str">
        <f t="shared" si="91"/>
        <v/>
      </c>
      <c r="AH417" s="609" t="str">
        <f t="shared" si="91"/>
        <v/>
      </c>
      <c r="AI417" s="609" t="str">
        <f t="shared" si="91"/>
        <v/>
      </c>
      <c r="AJ417" s="609" t="str">
        <f t="shared" si="91"/>
        <v/>
      </c>
      <c r="AK417" s="609" t="str">
        <f t="shared" si="91"/>
        <v/>
      </c>
      <c r="AL417" s="609" t="str">
        <f t="shared" si="91"/>
        <v/>
      </c>
      <c r="AM417" s="609" t="str">
        <f t="shared" si="94"/>
        <v/>
      </c>
      <c r="AN417" s="609" t="str">
        <f t="shared" si="94"/>
        <v/>
      </c>
      <c r="AO417" s="609" t="str">
        <f t="shared" si="94"/>
        <v/>
      </c>
      <c r="AP417" s="609" t="str">
        <f t="shared" si="94"/>
        <v/>
      </c>
      <c r="AQ417" s="609" t="str">
        <f t="shared" si="94"/>
        <v/>
      </c>
      <c r="AR417" s="609" t="str">
        <f t="shared" si="94"/>
        <v/>
      </c>
      <c r="AS417" s="609" t="str">
        <f t="shared" si="94"/>
        <v/>
      </c>
      <c r="AT417" s="609" t="str">
        <f t="shared" si="94"/>
        <v/>
      </c>
      <c r="AU417" s="609" t="str">
        <f t="shared" si="94"/>
        <v/>
      </c>
      <c r="AV417" s="609" t="str">
        <f t="shared" si="94"/>
        <v/>
      </c>
      <c r="AW417" s="609" t="str">
        <f t="shared" si="94"/>
        <v/>
      </c>
      <c r="AX417" s="609" t="str">
        <f t="shared" si="94"/>
        <v/>
      </c>
      <c r="AY417" s="609" t="str">
        <f t="shared" si="94"/>
        <v/>
      </c>
      <c r="AZ417" s="609" t="str">
        <f t="shared" si="94"/>
        <v/>
      </c>
      <c r="BA417" s="609" t="str">
        <f t="shared" si="94"/>
        <v/>
      </c>
      <c r="BB417" s="609" t="str">
        <f t="shared" si="94"/>
        <v/>
      </c>
      <c r="BC417" s="609" t="str">
        <f t="shared" si="93"/>
        <v/>
      </c>
      <c r="BD417" s="609" t="str">
        <f t="shared" si="93"/>
        <v/>
      </c>
      <c r="BE417" s="609" t="str">
        <f t="shared" si="93"/>
        <v/>
      </c>
      <c r="BF417" s="609" t="str">
        <f t="shared" si="93"/>
        <v/>
      </c>
      <c r="BG417" s="609" t="str">
        <f t="shared" si="93"/>
        <v/>
      </c>
    </row>
    <row r="418" spans="2:59" x14ac:dyDescent="0.25">
      <c r="B418" s="654">
        <v>412</v>
      </c>
      <c r="C418" s="654"/>
      <c r="D418" s="654"/>
      <c r="E418" s="655"/>
      <c r="F418" s="654"/>
      <c r="H418" s="609" t="str">
        <f t="shared" si="92"/>
        <v/>
      </c>
      <c r="I418" s="609" t="str">
        <f t="shared" si="92"/>
        <v/>
      </c>
      <c r="J418" s="609" t="str">
        <f t="shared" si="92"/>
        <v/>
      </c>
      <c r="K418" s="609" t="str">
        <f t="shared" si="92"/>
        <v/>
      </c>
      <c r="L418" s="609" t="str">
        <f t="shared" si="92"/>
        <v/>
      </c>
      <c r="M418" s="609" t="str">
        <f t="shared" si="92"/>
        <v/>
      </c>
      <c r="N418" s="609" t="str">
        <f t="shared" si="92"/>
        <v/>
      </c>
      <c r="O418" s="609" t="str">
        <f t="shared" si="92"/>
        <v/>
      </c>
      <c r="P418" s="609" t="str">
        <f t="shared" si="92"/>
        <v/>
      </c>
      <c r="Q418" s="609" t="str">
        <f t="shared" si="92"/>
        <v/>
      </c>
      <c r="R418" s="609" t="str">
        <f t="shared" si="92"/>
        <v/>
      </c>
      <c r="S418" s="609" t="str">
        <f t="shared" si="92"/>
        <v/>
      </c>
      <c r="T418" s="609" t="str">
        <f t="shared" si="92"/>
        <v/>
      </c>
      <c r="U418" s="609" t="str">
        <f t="shared" si="92"/>
        <v/>
      </c>
      <c r="V418" s="609" t="str">
        <f t="shared" si="92"/>
        <v/>
      </c>
      <c r="W418" s="609" t="str">
        <f t="shared" si="92"/>
        <v/>
      </c>
      <c r="X418" s="609" t="str">
        <f t="shared" si="91"/>
        <v/>
      </c>
      <c r="Y418" s="609" t="str">
        <f t="shared" si="91"/>
        <v/>
      </c>
      <c r="Z418" s="609" t="str">
        <f t="shared" si="91"/>
        <v/>
      </c>
      <c r="AA418" s="609" t="str">
        <f t="shared" si="91"/>
        <v/>
      </c>
      <c r="AB418" s="609" t="str">
        <f t="shared" si="91"/>
        <v/>
      </c>
      <c r="AC418" s="609" t="str">
        <f t="shared" si="91"/>
        <v/>
      </c>
      <c r="AD418" s="609" t="str">
        <f t="shared" si="91"/>
        <v/>
      </c>
      <c r="AE418" s="609" t="str">
        <f t="shared" si="91"/>
        <v/>
      </c>
      <c r="AF418" s="609" t="str">
        <f t="shared" si="91"/>
        <v/>
      </c>
      <c r="AG418" s="609" t="str">
        <f t="shared" si="91"/>
        <v/>
      </c>
      <c r="AH418" s="609" t="str">
        <f t="shared" si="91"/>
        <v/>
      </c>
      <c r="AI418" s="609" t="str">
        <f t="shared" si="91"/>
        <v/>
      </c>
      <c r="AJ418" s="609" t="str">
        <f t="shared" si="91"/>
        <v/>
      </c>
      <c r="AK418" s="609" t="str">
        <f t="shared" si="91"/>
        <v/>
      </c>
      <c r="AL418" s="609" t="str">
        <f t="shared" si="91"/>
        <v/>
      </c>
      <c r="AM418" s="609" t="str">
        <f t="shared" si="94"/>
        <v/>
      </c>
      <c r="AN418" s="609" t="str">
        <f t="shared" si="94"/>
        <v/>
      </c>
      <c r="AO418" s="609" t="str">
        <f t="shared" si="94"/>
        <v/>
      </c>
      <c r="AP418" s="609" t="str">
        <f t="shared" si="94"/>
        <v/>
      </c>
      <c r="AQ418" s="609" t="str">
        <f t="shared" si="94"/>
        <v/>
      </c>
      <c r="AR418" s="609" t="str">
        <f t="shared" si="94"/>
        <v/>
      </c>
      <c r="AS418" s="609" t="str">
        <f t="shared" si="94"/>
        <v/>
      </c>
      <c r="AT418" s="609" t="str">
        <f t="shared" si="94"/>
        <v/>
      </c>
      <c r="AU418" s="609" t="str">
        <f t="shared" si="94"/>
        <v/>
      </c>
      <c r="AV418" s="609" t="str">
        <f t="shared" si="94"/>
        <v/>
      </c>
      <c r="AW418" s="609" t="str">
        <f t="shared" si="94"/>
        <v/>
      </c>
      <c r="AX418" s="609" t="str">
        <f t="shared" si="94"/>
        <v/>
      </c>
      <c r="AY418" s="609" t="str">
        <f t="shared" si="94"/>
        <v/>
      </c>
      <c r="AZ418" s="609" t="str">
        <f t="shared" si="94"/>
        <v/>
      </c>
      <c r="BA418" s="609" t="str">
        <f t="shared" si="94"/>
        <v/>
      </c>
      <c r="BB418" s="609" t="str">
        <f t="shared" si="94"/>
        <v/>
      </c>
      <c r="BC418" s="609" t="str">
        <f t="shared" si="93"/>
        <v/>
      </c>
      <c r="BD418" s="609" t="str">
        <f t="shared" si="93"/>
        <v/>
      </c>
      <c r="BE418" s="609" t="str">
        <f t="shared" si="93"/>
        <v/>
      </c>
      <c r="BF418" s="609" t="str">
        <f t="shared" si="93"/>
        <v/>
      </c>
      <c r="BG418" s="609" t="str">
        <f t="shared" si="93"/>
        <v/>
      </c>
    </row>
    <row r="419" spans="2:59" x14ac:dyDescent="0.25">
      <c r="B419" s="654">
        <v>413</v>
      </c>
      <c r="C419" s="654"/>
      <c r="D419" s="654"/>
      <c r="E419" s="655"/>
      <c r="F419" s="654"/>
      <c r="H419" s="609" t="str">
        <f t="shared" si="92"/>
        <v/>
      </c>
      <c r="I419" s="609" t="str">
        <f t="shared" si="92"/>
        <v/>
      </c>
      <c r="J419" s="609" t="str">
        <f t="shared" si="92"/>
        <v/>
      </c>
      <c r="K419" s="609" t="str">
        <f t="shared" si="92"/>
        <v/>
      </c>
      <c r="L419" s="609" t="str">
        <f t="shared" si="92"/>
        <v/>
      </c>
      <c r="M419" s="609" t="str">
        <f t="shared" si="92"/>
        <v/>
      </c>
      <c r="N419" s="609" t="str">
        <f t="shared" si="92"/>
        <v/>
      </c>
      <c r="O419" s="609" t="str">
        <f t="shared" si="92"/>
        <v/>
      </c>
      <c r="P419" s="609" t="str">
        <f t="shared" si="92"/>
        <v/>
      </c>
      <c r="Q419" s="609" t="str">
        <f t="shared" si="92"/>
        <v/>
      </c>
      <c r="R419" s="609" t="str">
        <f t="shared" si="92"/>
        <v/>
      </c>
      <c r="S419" s="609" t="str">
        <f t="shared" si="92"/>
        <v/>
      </c>
      <c r="T419" s="609" t="str">
        <f t="shared" si="92"/>
        <v/>
      </c>
      <c r="U419" s="609" t="str">
        <f t="shared" si="92"/>
        <v/>
      </c>
      <c r="V419" s="609" t="str">
        <f t="shared" si="92"/>
        <v/>
      </c>
      <c r="W419" s="609" t="str">
        <f t="shared" si="92"/>
        <v/>
      </c>
      <c r="X419" s="609" t="str">
        <f t="shared" si="91"/>
        <v/>
      </c>
      <c r="Y419" s="609" t="str">
        <f t="shared" si="91"/>
        <v/>
      </c>
      <c r="Z419" s="609" t="str">
        <f t="shared" si="91"/>
        <v/>
      </c>
      <c r="AA419" s="609" t="str">
        <f t="shared" si="91"/>
        <v/>
      </c>
      <c r="AB419" s="609" t="str">
        <f t="shared" si="91"/>
        <v/>
      </c>
      <c r="AC419" s="609" t="str">
        <f t="shared" si="91"/>
        <v/>
      </c>
      <c r="AD419" s="609" t="str">
        <f t="shared" si="91"/>
        <v/>
      </c>
      <c r="AE419" s="609" t="str">
        <f t="shared" si="91"/>
        <v/>
      </c>
      <c r="AF419" s="609" t="str">
        <f t="shared" si="91"/>
        <v/>
      </c>
      <c r="AG419" s="609" t="str">
        <f t="shared" si="91"/>
        <v/>
      </c>
      <c r="AH419" s="609" t="str">
        <f t="shared" si="91"/>
        <v/>
      </c>
      <c r="AI419" s="609" t="str">
        <f t="shared" si="91"/>
        <v/>
      </c>
      <c r="AJ419" s="609" t="str">
        <f t="shared" si="91"/>
        <v/>
      </c>
      <c r="AK419" s="609" t="str">
        <f t="shared" si="91"/>
        <v/>
      </c>
      <c r="AL419" s="609" t="str">
        <f t="shared" si="91"/>
        <v/>
      </c>
      <c r="AM419" s="609" t="str">
        <f t="shared" si="94"/>
        <v/>
      </c>
      <c r="AN419" s="609" t="str">
        <f t="shared" si="94"/>
        <v/>
      </c>
      <c r="AO419" s="609" t="str">
        <f t="shared" si="94"/>
        <v/>
      </c>
      <c r="AP419" s="609" t="str">
        <f t="shared" si="94"/>
        <v/>
      </c>
      <c r="AQ419" s="609" t="str">
        <f t="shared" si="94"/>
        <v/>
      </c>
      <c r="AR419" s="609" t="str">
        <f t="shared" si="94"/>
        <v/>
      </c>
      <c r="AS419" s="609" t="str">
        <f t="shared" si="94"/>
        <v/>
      </c>
      <c r="AT419" s="609" t="str">
        <f t="shared" si="94"/>
        <v/>
      </c>
      <c r="AU419" s="609" t="str">
        <f t="shared" si="94"/>
        <v/>
      </c>
      <c r="AV419" s="609" t="str">
        <f t="shared" si="94"/>
        <v/>
      </c>
      <c r="AW419" s="609" t="str">
        <f t="shared" si="94"/>
        <v/>
      </c>
      <c r="AX419" s="609" t="str">
        <f t="shared" si="94"/>
        <v/>
      </c>
      <c r="AY419" s="609" t="str">
        <f t="shared" si="94"/>
        <v/>
      </c>
      <c r="AZ419" s="609" t="str">
        <f t="shared" si="94"/>
        <v/>
      </c>
      <c r="BA419" s="609" t="str">
        <f t="shared" si="94"/>
        <v/>
      </c>
      <c r="BB419" s="609" t="str">
        <f t="shared" si="94"/>
        <v/>
      </c>
      <c r="BC419" s="609" t="str">
        <f t="shared" si="93"/>
        <v/>
      </c>
      <c r="BD419" s="609" t="str">
        <f t="shared" si="93"/>
        <v/>
      </c>
      <c r="BE419" s="609" t="str">
        <f t="shared" si="93"/>
        <v/>
      </c>
      <c r="BF419" s="609" t="str">
        <f t="shared" si="93"/>
        <v/>
      </c>
      <c r="BG419" s="609" t="str">
        <f t="shared" si="93"/>
        <v/>
      </c>
    </row>
    <row r="420" spans="2:59" x14ac:dyDescent="0.25">
      <c r="B420" s="654">
        <v>414</v>
      </c>
      <c r="C420" s="654"/>
      <c r="D420" s="654"/>
      <c r="E420" s="655"/>
      <c r="F420" s="654"/>
      <c r="H420" s="609" t="str">
        <f t="shared" si="92"/>
        <v/>
      </c>
      <c r="I420" s="609" t="str">
        <f t="shared" si="92"/>
        <v/>
      </c>
      <c r="J420" s="609" t="str">
        <f t="shared" si="92"/>
        <v/>
      </c>
      <c r="K420" s="609" t="str">
        <f t="shared" si="92"/>
        <v/>
      </c>
      <c r="L420" s="609" t="str">
        <f t="shared" si="92"/>
        <v/>
      </c>
      <c r="M420" s="609" t="str">
        <f t="shared" si="92"/>
        <v/>
      </c>
      <c r="N420" s="609" t="str">
        <f t="shared" si="92"/>
        <v/>
      </c>
      <c r="O420" s="609" t="str">
        <f t="shared" si="92"/>
        <v/>
      </c>
      <c r="P420" s="609" t="str">
        <f t="shared" si="92"/>
        <v/>
      </c>
      <c r="Q420" s="609" t="str">
        <f t="shared" si="92"/>
        <v/>
      </c>
      <c r="R420" s="609" t="str">
        <f t="shared" si="92"/>
        <v/>
      </c>
      <c r="S420" s="609" t="str">
        <f t="shared" si="92"/>
        <v/>
      </c>
      <c r="T420" s="609" t="str">
        <f t="shared" si="92"/>
        <v/>
      </c>
      <c r="U420" s="609" t="str">
        <f t="shared" si="92"/>
        <v/>
      </c>
      <c r="V420" s="609" t="str">
        <f t="shared" si="92"/>
        <v/>
      </c>
      <c r="W420" s="609" t="str">
        <f t="shared" si="92"/>
        <v/>
      </c>
      <c r="X420" s="609" t="str">
        <f t="shared" si="91"/>
        <v/>
      </c>
      <c r="Y420" s="609" t="str">
        <f t="shared" si="91"/>
        <v/>
      </c>
      <c r="Z420" s="609" t="str">
        <f t="shared" si="91"/>
        <v/>
      </c>
      <c r="AA420" s="609" t="str">
        <f t="shared" si="91"/>
        <v/>
      </c>
      <c r="AB420" s="609" t="str">
        <f t="shared" si="91"/>
        <v/>
      </c>
      <c r="AC420" s="609" t="str">
        <f t="shared" si="91"/>
        <v/>
      </c>
      <c r="AD420" s="609" t="str">
        <f t="shared" si="91"/>
        <v/>
      </c>
      <c r="AE420" s="609" t="str">
        <f t="shared" si="91"/>
        <v/>
      </c>
      <c r="AF420" s="609" t="str">
        <f t="shared" si="91"/>
        <v/>
      </c>
      <c r="AG420" s="609" t="str">
        <f t="shared" si="91"/>
        <v/>
      </c>
      <c r="AH420" s="609" t="str">
        <f t="shared" si="91"/>
        <v/>
      </c>
      <c r="AI420" s="609" t="str">
        <f t="shared" si="91"/>
        <v/>
      </c>
      <c r="AJ420" s="609" t="str">
        <f t="shared" si="91"/>
        <v/>
      </c>
      <c r="AK420" s="609" t="str">
        <f t="shared" si="91"/>
        <v/>
      </c>
      <c r="AL420" s="609" t="str">
        <f t="shared" si="91"/>
        <v/>
      </c>
      <c r="AM420" s="609" t="str">
        <f t="shared" si="94"/>
        <v/>
      </c>
      <c r="AN420" s="609" t="str">
        <f t="shared" si="94"/>
        <v/>
      </c>
      <c r="AO420" s="609" t="str">
        <f t="shared" si="94"/>
        <v/>
      </c>
      <c r="AP420" s="609" t="str">
        <f t="shared" si="94"/>
        <v/>
      </c>
      <c r="AQ420" s="609" t="str">
        <f t="shared" si="94"/>
        <v/>
      </c>
      <c r="AR420" s="609" t="str">
        <f t="shared" si="94"/>
        <v/>
      </c>
      <c r="AS420" s="609" t="str">
        <f t="shared" si="94"/>
        <v/>
      </c>
      <c r="AT420" s="609" t="str">
        <f t="shared" si="94"/>
        <v/>
      </c>
      <c r="AU420" s="609" t="str">
        <f t="shared" si="94"/>
        <v/>
      </c>
      <c r="AV420" s="609" t="str">
        <f t="shared" si="94"/>
        <v/>
      </c>
      <c r="AW420" s="609" t="str">
        <f t="shared" si="94"/>
        <v/>
      </c>
      <c r="AX420" s="609" t="str">
        <f t="shared" si="94"/>
        <v/>
      </c>
      <c r="AY420" s="609" t="str">
        <f t="shared" si="94"/>
        <v/>
      </c>
      <c r="AZ420" s="609" t="str">
        <f t="shared" si="94"/>
        <v/>
      </c>
      <c r="BA420" s="609" t="str">
        <f t="shared" si="94"/>
        <v/>
      </c>
      <c r="BB420" s="609" t="str">
        <f t="shared" si="94"/>
        <v/>
      </c>
      <c r="BC420" s="609" t="str">
        <f t="shared" si="93"/>
        <v/>
      </c>
      <c r="BD420" s="609" t="str">
        <f t="shared" si="93"/>
        <v/>
      </c>
      <c r="BE420" s="609" t="str">
        <f t="shared" si="93"/>
        <v/>
      </c>
      <c r="BF420" s="609" t="str">
        <f t="shared" si="93"/>
        <v/>
      </c>
      <c r="BG420" s="609" t="str">
        <f t="shared" si="93"/>
        <v/>
      </c>
    </row>
    <row r="421" spans="2:59" x14ac:dyDescent="0.25">
      <c r="B421" s="654">
        <v>415</v>
      </c>
      <c r="C421" s="654"/>
      <c r="D421" s="654"/>
      <c r="E421" s="655"/>
      <c r="F421" s="654"/>
      <c r="H421" s="609" t="str">
        <f t="shared" si="92"/>
        <v/>
      </c>
      <c r="I421" s="609" t="str">
        <f t="shared" si="92"/>
        <v/>
      </c>
      <c r="J421" s="609" t="str">
        <f t="shared" si="92"/>
        <v/>
      </c>
      <c r="K421" s="609" t="str">
        <f t="shared" si="92"/>
        <v/>
      </c>
      <c r="L421" s="609" t="str">
        <f t="shared" si="92"/>
        <v/>
      </c>
      <c r="M421" s="609" t="str">
        <f t="shared" si="92"/>
        <v/>
      </c>
      <c r="N421" s="609" t="str">
        <f t="shared" si="92"/>
        <v/>
      </c>
      <c r="O421" s="609" t="str">
        <f t="shared" si="92"/>
        <v/>
      </c>
      <c r="P421" s="609" t="str">
        <f t="shared" si="92"/>
        <v/>
      </c>
      <c r="Q421" s="609" t="str">
        <f t="shared" si="92"/>
        <v/>
      </c>
      <c r="R421" s="609" t="str">
        <f t="shared" si="92"/>
        <v/>
      </c>
      <c r="S421" s="609" t="str">
        <f t="shared" si="92"/>
        <v/>
      </c>
      <c r="T421" s="609" t="str">
        <f t="shared" si="92"/>
        <v/>
      </c>
      <c r="U421" s="609" t="str">
        <f t="shared" si="92"/>
        <v/>
      </c>
      <c r="V421" s="609" t="str">
        <f t="shared" si="92"/>
        <v/>
      </c>
      <c r="W421" s="609" t="str">
        <f t="shared" ref="W421:AL436" si="95">IF($D421=W$6,$B421&amp;", ","")</f>
        <v/>
      </c>
      <c r="X421" s="609" t="str">
        <f t="shared" si="95"/>
        <v/>
      </c>
      <c r="Y421" s="609" t="str">
        <f t="shared" si="95"/>
        <v/>
      </c>
      <c r="Z421" s="609" t="str">
        <f t="shared" si="95"/>
        <v/>
      </c>
      <c r="AA421" s="609" t="str">
        <f t="shared" si="95"/>
        <v/>
      </c>
      <c r="AB421" s="609" t="str">
        <f t="shared" si="95"/>
        <v/>
      </c>
      <c r="AC421" s="609" t="str">
        <f t="shared" si="95"/>
        <v/>
      </c>
      <c r="AD421" s="609" t="str">
        <f t="shared" si="95"/>
        <v/>
      </c>
      <c r="AE421" s="609" t="str">
        <f t="shared" si="95"/>
        <v/>
      </c>
      <c r="AF421" s="609" t="str">
        <f t="shared" si="95"/>
        <v/>
      </c>
      <c r="AG421" s="609" t="str">
        <f t="shared" si="95"/>
        <v/>
      </c>
      <c r="AH421" s="609" t="str">
        <f t="shared" si="95"/>
        <v/>
      </c>
      <c r="AI421" s="609" t="str">
        <f t="shared" si="95"/>
        <v/>
      </c>
      <c r="AJ421" s="609" t="str">
        <f t="shared" si="95"/>
        <v/>
      </c>
      <c r="AK421" s="609" t="str">
        <f t="shared" si="95"/>
        <v/>
      </c>
      <c r="AL421" s="609" t="str">
        <f t="shared" si="95"/>
        <v/>
      </c>
      <c r="AM421" s="609" t="str">
        <f t="shared" si="94"/>
        <v/>
      </c>
      <c r="AN421" s="609" t="str">
        <f t="shared" si="94"/>
        <v/>
      </c>
      <c r="AO421" s="609" t="str">
        <f t="shared" si="94"/>
        <v/>
      </c>
      <c r="AP421" s="609" t="str">
        <f t="shared" si="94"/>
        <v/>
      </c>
      <c r="AQ421" s="609" t="str">
        <f t="shared" si="94"/>
        <v/>
      </c>
      <c r="AR421" s="609" t="str">
        <f t="shared" si="94"/>
        <v/>
      </c>
      <c r="AS421" s="609" t="str">
        <f t="shared" si="94"/>
        <v/>
      </c>
      <c r="AT421" s="609" t="str">
        <f t="shared" si="94"/>
        <v/>
      </c>
      <c r="AU421" s="609" t="str">
        <f t="shared" si="94"/>
        <v/>
      </c>
      <c r="AV421" s="609" t="str">
        <f t="shared" si="94"/>
        <v/>
      </c>
      <c r="AW421" s="609" t="str">
        <f t="shared" si="94"/>
        <v/>
      </c>
      <c r="AX421" s="609" t="str">
        <f t="shared" si="94"/>
        <v/>
      </c>
      <c r="AY421" s="609" t="str">
        <f t="shared" si="94"/>
        <v/>
      </c>
      <c r="AZ421" s="609" t="str">
        <f t="shared" si="94"/>
        <v/>
      </c>
      <c r="BA421" s="609" t="str">
        <f t="shared" si="94"/>
        <v/>
      </c>
      <c r="BB421" s="609" t="str">
        <f t="shared" si="94"/>
        <v/>
      </c>
      <c r="BC421" s="609" t="str">
        <f t="shared" si="93"/>
        <v/>
      </c>
      <c r="BD421" s="609" t="str">
        <f t="shared" si="93"/>
        <v/>
      </c>
      <c r="BE421" s="609" t="str">
        <f t="shared" si="93"/>
        <v/>
      </c>
      <c r="BF421" s="609" t="str">
        <f t="shared" si="93"/>
        <v/>
      </c>
      <c r="BG421" s="609" t="str">
        <f t="shared" si="93"/>
        <v/>
      </c>
    </row>
    <row r="422" spans="2:59" x14ac:dyDescent="0.25">
      <c r="B422" s="654">
        <v>416</v>
      </c>
      <c r="C422" s="654"/>
      <c r="D422" s="654"/>
      <c r="E422" s="655"/>
      <c r="F422" s="654"/>
      <c r="H422" s="609" t="str">
        <f t="shared" ref="H422:W437" si="96">IF($D422=H$6,$B422&amp;", ","")</f>
        <v/>
      </c>
      <c r="I422" s="609" t="str">
        <f t="shared" si="96"/>
        <v/>
      </c>
      <c r="J422" s="609" t="str">
        <f t="shared" si="96"/>
        <v/>
      </c>
      <c r="K422" s="609" t="str">
        <f t="shared" si="96"/>
        <v/>
      </c>
      <c r="L422" s="609" t="str">
        <f t="shared" si="96"/>
        <v/>
      </c>
      <c r="M422" s="609" t="str">
        <f t="shared" si="96"/>
        <v/>
      </c>
      <c r="N422" s="609" t="str">
        <f t="shared" si="96"/>
        <v/>
      </c>
      <c r="O422" s="609" t="str">
        <f t="shared" si="96"/>
        <v/>
      </c>
      <c r="P422" s="609" t="str">
        <f t="shared" si="96"/>
        <v/>
      </c>
      <c r="Q422" s="609" t="str">
        <f t="shared" si="96"/>
        <v/>
      </c>
      <c r="R422" s="609" t="str">
        <f t="shared" si="96"/>
        <v/>
      </c>
      <c r="S422" s="609" t="str">
        <f t="shared" si="96"/>
        <v/>
      </c>
      <c r="T422" s="609" t="str">
        <f t="shared" si="96"/>
        <v/>
      </c>
      <c r="U422" s="609" t="str">
        <f t="shared" si="96"/>
        <v/>
      </c>
      <c r="V422" s="609" t="str">
        <f t="shared" si="96"/>
        <v/>
      </c>
      <c r="W422" s="609" t="str">
        <f t="shared" si="96"/>
        <v/>
      </c>
      <c r="X422" s="609" t="str">
        <f t="shared" si="95"/>
        <v/>
      </c>
      <c r="Y422" s="609" t="str">
        <f t="shared" si="95"/>
        <v/>
      </c>
      <c r="Z422" s="609" t="str">
        <f t="shared" si="95"/>
        <v/>
      </c>
      <c r="AA422" s="609" t="str">
        <f t="shared" si="95"/>
        <v/>
      </c>
      <c r="AB422" s="609" t="str">
        <f t="shared" si="95"/>
        <v/>
      </c>
      <c r="AC422" s="609" t="str">
        <f t="shared" si="95"/>
        <v/>
      </c>
      <c r="AD422" s="609" t="str">
        <f t="shared" si="95"/>
        <v/>
      </c>
      <c r="AE422" s="609" t="str">
        <f t="shared" si="95"/>
        <v/>
      </c>
      <c r="AF422" s="609" t="str">
        <f t="shared" si="95"/>
        <v/>
      </c>
      <c r="AG422" s="609" t="str">
        <f t="shared" si="95"/>
        <v/>
      </c>
      <c r="AH422" s="609" t="str">
        <f t="shared" si="95"/>
        <v/>
      </c>
      <c r="AI422" s="609" t="str">
        <f t="shared" si="95"/>
        <v/>
      </c>
      <c r="AJ422" s="609" t="str">
        <f t="shared" si="95"/>
        <v/>
      </c>
      <c r="AK422" s="609" t="str">
        <f t="shared" si="95"/>
        <v/>
      </c>
      <c r="AL422" s="609" t="str">
        <f t="shared" si="95"/>
        <v/>
      </c>
      <c r="AM422" s="609" t="str">
        <f t="shared" si="94"/>
        <v/>
      </c>
      <c r="AN422" s="609" t="str">
        <f t="shared" si="94"/>
        <v/>
      </c>
      <c r="AO422" s="609" t="str">
        <f t="shared" si="94"/>
        <v/>
      </c>
      <c r="AP422" s="609" t="str">
        <f t="shared" si="94"/>
        <v/>
      </c>
      <c r="AQ422" s="609" t="str">
        <f t="shared" si="94"/>
        <v/>
      </c>
      <c r="AR422" s="609" t="str">
        <f t="shared" si="94"/>
        <v/>
      </c>
      <c r="AS422" s="609" t="str">
        <f t="shared" si="94"/>
        <v/>
      </c>
      <c r="AT422" s="609" t="str">
        <f t="shared" si="94"/>
        <v/>
      </c>
      <c r="AU422" s="609" t="str">
        <f t="shared" si="94"/>
        <v/>
      </c>
      <c r="AV422" s="609" t="str">
        <f t="shared" si="94"/>
        <v/>
      </c>
      <c r="AW422" s="609" t="str">
        <f t="shared" si="94"/>
        <v/>
      </c>
      <c r="AX422" s="609" t="str">
        <f t="shared" si="94"/>
        <v/>
      </c>
      <c r="AY422" s="609" t="str">
        <f t="shared" si="94"/>
        <v/>
      </c>
      <c r="AZ422" s="609" t="str">
        <f t="shared" si="94"/>
        <v/>
      </c>
      <c r="BA422" s="609" t="str">
        <f t="shared" si="94"/>
        <v/>
      </c>
      <c r="BB422" s="609" t="str">
        <f t="shared" si="94"/>
        <v/>
      </c>
      <c r="BC422" s="609" t="str">
        <f t="shared" si="93"/>
        <v/>
      </c>
      <c r="BD422" s="609" t="str">
        <f t="shared" si="93"/>
        <v/>
      </c>
      <c r="BE422" s="609" t="str">
        <f t="shared" si="93"/>
        <v/>
      </c>
      <c r="BF422" s="609" t="str">
        <f t="shared" si="93"/>
        <v/>
      </c>
      <c r="BG422" s="609" t="str">
        <f t="shared" si="93"/>
        <v/>
      </c>
    </row>
    <row r="423" spans="2:59" x14ac:dyDescent="0.25">
      <c r="B423" s="654">
        <v>417</v>
      </c>
      <c r="C423" s="654"/>
      <c r="D423" s="654"/>
      <c r="E423" s="655"/>
      <c r="F423" s="654"/>
      <c r="H423" s="609" t="str">
        <f t="shared" si="96"/>
        <v/>
      </c>
      <c r="I423" s="609" t="str">
        <f t="shared" si="96"/>
        <v/>
      </c>
      <c r="J423" s="609" t="str">
        <f t="shared" si="96"/>
        <v/>
      </c>
      <c r="K423" s="609" t="str">
        <f t="shared" si="96"/>
        <v/>
      </c>
      <c r="L423" s="609" t="str">
        <f t="shared" si="96"/>
        <v/>
      </c>
      <c r="M423" s="609" t="str">
        <f t="shared" si="96"/>
        <v/>
      </c>
      <c r="N423" s="609" t="str">
        <f t="shared" si="96"/>
        <v/>
      </c>
      <c r="O423" s="609" t="str">
        <f t="shared" si="96"/>
        <v/>
      </c>
      <c r="P423" s="609" t="str">
        <f t="shared" si="96"/>
        <v/>
      </c>
      <c r="Q423" s="609" t="str">
        <f t="shared" si="96"/>
        <v/>
      </c>
      <c r="R423" s="609" t="str">
        <f t="shared" si="96"/>
        <v/>
      </c>
      <c r="S423" s="609" t="str">
        <f t="shared" si="96"/>
        <v/>
      </c>
      <c r="T423" s="609" t="str">
        <f t="shared" si="96"/>
        <v/>
      </c>
      <c r="U423" s="609" t="str">
        <f t="shared" si="96"/>
        <v/>
      </c>
      <c r="V423" s="609" t="str">
        <f t="shared" si="96"/>
        <v/>
      </c>
      <c r="W423" s="609" t="str">
        <f t="shared" si="96"/>
        <v/>
      </c>
      <c r="X423" s="609" t="str">
        <f t="shared" si="95"/>
        <v/>
      </c>
      <c r="Y423" s="609" t="str">
        <f t="shared" si="95"/>
        <v/>
      </c>
      <c r="Z423" s="609" t="str">
        <f t="shared" si="95"/>
        <v/>
      </c>
      <c r="AA423" s="609" t="str">
        <f t="shared" si="95"/>
        <v/>
      </c>
      <c r="AB423" s="609" t="str">
        <f t="shared" si="95"/>
        <v/>
      </c>
      <c r="AC423" s="609" t="str">
        <f t="shared" si="95"/>
        <v/>
      </c>
      <c r="AD423" s="609" t="str">
        <f t="shared" si="95"/>
        <v/>
      </c>
      <c r="AE423" s="609" t="str">
        <f t="shared" si="95"/>
        <v/>
      </c>
      <c r="AF423" s="609" t="str">
        <f t="shared" si="95"/>
        <v/>
      </c>
      <c r="AG423" s="609" t="str">
        <f t="shared" si="95"/>
        <v/>
      </c>
      <c r="AH423" s="609" t="str">
        <f t="shared" si="95"/>
        <v/>
      </c>
      <c r="AI423" s="609" t="str">
        <f t="shared" si="95"/>
        <v/>
      </c>
      <c r="AJ423" s="609" t="str">
        <f t="shared" si="95"/>
        <v/>
      </c>
      <c r="AK423" s="609" t="str">
        <f t="shared" si="95"/>
        <v/>
      </c>
      <c r="AL423" s="609" t="str">
        <f t="shared" si="95"/>
        <v/>
      </c>
      <c r="AM423" s="609" t="str">
        <f t="shared" si="94"/>
        <v/>
      </c>
      <c r="AN423" s="609" t="str">
        <f t="shared" si="94"/>
        <v/>
      </c>
      <c r="AO423" s="609" t="str">
        <f t="shared" si="94"/>
        <v/>
      </c>
      <c r="AP423" s="609" t="str">
        <f t="shared" si="94"/>
        <v/>
      </c>
      <c r="AQ423" s="609" t="str">
        <f t="shared" si="94"/>
        <v/>
      </c>
      <c r="AR423" s="609" t="str">
        <f t="shared" si="94"/>
        <v/>
      </c>
      <c r="AS423" s="609" t="str">
        <f t="shared" si="94"/>
        <v/>
      </c>
      <c r="AT423" s="609" t="str">
        <f t="shared" si="94"/>
        <v/>
      </c>
      <c r="AU423" s="609" t="str">
        <f t="shared" si="94"/>
        <v/>
      </c>
      <c r="AV423" s="609" t="str">
        <f t="shared" si="94"/>
        <v/>
      </c>
      <c r="AW423" s="609" t="str">
        <f t="shared" si="94"/>
        <v/>
      </c>
      <c r="AX423" s="609" t="str">
        <f t="shared" si="94"/>
        <v/>
      </c>
      <c r="AY423" s="609" t="str">
        <f t="shared" si="94"/>
        <v/>
      </c>
      <c r="AZ423" s="609" t="str">
        <f t="shared" si="94"/>
        <v/>
      </c>
      <c r="BA423" s="609" t="str">
        <f t="shared" si="94"/>
        <v/>
      </c>
      <c r="BB423" s="609" t="str">
        <f t="shared" si="94"/>
        <v/>
      </c>
      <c r="BC423" s="609" t="str">
        <f t="shared" si="93"/>
        <v/>
      </c>
      <c r="BD423" s="609" t="str">
        <f t="shared" si="93"/>
        <v/>
      </c>
      <c r="BE423" s="609" t="str">
        <f t="shared" si="93"/>
        <v/>
      </c>
      <c r="BF423" s="609" t="str">
        <f t="shared" si="93"/>
        <v/>
      </c>
      <c r="BG423" s="609" t="str">
        <f t="shared" si="93"/>
        <v/>
      </c>
    </row>
    <row r="424" spans="2:59" x14ac:dyDescent="0.25">
      <c r="B424" s="654">
        <v>418</v>
      </c>
      <c r="C424" s="654"/>
      <c r="D424" s="654"/>
      <c r="E424" s="655"/>
      <c r="F424" s="654"/>
      <c r="H424" s="609" t="str">
        <f t="shared" si="96"/>
        <v/>
      </c>
      <c r="I424" s="609" t="str">
        <f t="shared" si="96"/>
        <v/>
      </c>
      <c r="J424" s="609" t="str">
        <f t="shared" si="96"/>
        <v/>
      </c>
      <c r="K424" s="609" t="str">
        <f t="shared" si="96"/>
        <v/>
      </c>
      <c r="L424" s="609" t="str">
        <f t="shared" si="96"/>
        <v/>
      </c>
      <c r="M424" s="609" t="str">
        <f t="shared" si="96"/>
        <v/>
      </c>
      <c r="N424" s="609" t="str">
        <f t="shared" si="96"/>
        <v/>
      </c>
      <c r="O424" s="609" t="str">
        <f t="shared" si="96"/>
        <v/>
      </c>
      <c r="P424" s="609" t="str">
        <f t="shared" si="96"/>
        <v/>
      </c>
      <c r="Q424" s="609" t="str">
        <f t="shared" si="96"/>
        <v/>
      </c>
      <c r="R424" s="609" t="str">
        <f t="shared" si="96"/>
        <v/>
      </c>
      <c r="S424" s="609" t="str">
        <f t="shared" si="96"/>
        <v/>
      </c>
      <c r="T424" s="609" t="str">
        <f t="shared" si="96"/>
        <v/>
      </c>
      <c r="U424" s="609" t="str">
        <f t="shared" si="96"/>
        <v/>
      </c>
      <c r="V424" s="609" t="str">
        <f t="shared" si="96"/>
        <v/>
      </c>
      <c r="W424" s="609" t="str">
        <f t="shared" si="96"/>
        <v/>
      </c>
      <c r="X424" s="609" t="str">
        <f t="shared" si="95"/>
        <v/>
      </c>
      <c r="Y424" s="609" t="str">
        <f t="shared" si="95"/>
        <v/>
      </c>
      <c r="Z424" s="609" t="str">
        <f t="shared" si="95"/>
        <v/>
      </c>
      <c r="AA424" s="609" t="str">
        <f t="shared" si="95"/>
        <v/>
      </c>
      <c r="AB424" s="609" t="str">
        <f t="shared" si="95"/>
        <v/>
      </c>
      <c r="AC424" s="609" t="str">
        <f t="shared" si="95"/>
        <v/>
      </c>
      <c r="AD424" s="609" t="str">
        <f t="shared" si="95"/>
        <v/>
      </c>
      <c r="AE424" s="609" t="str">
        <f t="shared" si="95"/>
        <v/>
      </c>
      <c r="AF424" s="609" t="str">
        <f t="shared" si="95"/>
        <v/>
      </c>
      <c r="AG424" s="609" t="str">
        <f t="shared" si="95"/>
        <v/>
      </c>
      <c r="AH424" s="609" t="str">
        <f t="shared" si="95"/>
        <v/>
      </c>
      <c r="AI424" s="609" t="str">
        <f t="shared" si="95"/>
        <v/>
      </c>
      <c r="AJ424" s="609" t="str">
        <f t="shared" si="95"/>
        <v/>
      </c>
      <c r="AK424" s="609" t="str">
        <f t="shared" si="95"/>
        <v/>
      </c>
      <c r="AL424" s="609" t="str">
        <f t="shared" si="95"/>
        <v/>
      </c>
      <c r="AM424" s="609" t="str">
        <f t="shared" si="94"/>
        <v/>
      </c>
      <c r="AN424" s="609" t="str">
        <f t="shared" si="94"/>
        <v/>
      </c>
      <c r="AO424" s="609" t="str">
        <f t="shared" si="94"/>
        <v/>
      </c>
      <c r="AP424" s="609" t="str">
        <f t="shared" si="94"/>
        <v/>
      </c>
      <c r="AQ424" s="609" t="str">
        <f t="shared" si="94"/>
        <v/>
      </c>
      <c r="AR424" s="609" t="str">
        <f t="shared" si="94"/>
        <v/>
      </c>
      <c r="AS424" s="609" t="str">
        <f t="shared" si="94"/>
        <v/>
      </c>
      <c r="AT424" s="609" t="str">
        <f t="shared" si="94"/>
        <v/>
      </c>
      <c r="AU424" s="609" t="str">
        <f t="shared" si="94"/>
        <v/>
      </c>
      <c r="AV424" s="609" t="str">
        <f t="shared" si="94"/>
        <v/>
      </c>
      <c r="AW424" s="609" t="str">
        <f t="shared" si="94"/>
        <v/>
      </c>
      <c r="AX424" s="609" t="str">
        <f t="shared" si="94"/>
        <v/>
      </c>
      <c r="AY424" s="609" t="str">
        <f t="shared" si="94"/>
        <v/>
      </c>
      <c r="AZ424" s="609" t="str">
        <f t="shared" si="94"/>
        <v/>
      </c>
      <c r="BA424" s="609" t="str">
        <f t="shared" si="94"/>
        <v/>
      </c>
      <c r="BB424" s="609" t="str">
        <f t="shared" si="94"/>
        <v/>
      </c>
      <c r="BC424" s="609" t="str">
        <f t="shared" si="93"/>
        <v/>
      </c>
      <c r="BD424" s="609" t="str">
        <f t="shared" si="93"/>
        <v/>
      </c>
      <c r="BE424" s="609" t="str">
        <f t="shared" si="93"/>
        <v/>
      </c>
      <c r="BF424" s="609" t="str">
        <f t="shared" si="93"/>
        <v/>
      </c>
      <c r="BG424" s="609" t="str">
        <f t="shared" si="93"/>
        <v/>
      </c>
    </row>
    <row r="425" spans="2:59" x14ac:dyDescent="0.25">
      <c r="B425" s="654">
        <v>419</v>
      </c>
      <c r="C425" s="654"/>
      <c r="D425" s="654"/>
      <c r="E425" s="655"/>
      <c r="F425" s="654"/>
      <c r="H425" s="609" t="str">
        <f t="shared" si="96"/>
        <v/>
      </c>
      <c r="I425" s="609" t="str">
        <f t="shared" si="96"/>
        <v/>
      </c>
      <c r="J425" s="609" t="str">
        <f t="shared" si="96"/>
        <v/>
      </c>
      <c r="K425" s="609" t="str">
        <f t="shared" si="96"/>
        <v/>
      </c>
      <c r="L425" s="609" t="str">
        <f t="shared" si="96"/>
        <v/>
      </c>
      <c r="M425" s="609" t="str">
        <f t="shared" si="96"/>
        <v/>
      </c>
      <c r="N425" s="609" t="str">
        <f t="shared" si="96"/>
        <v/>
      </c>
      <c r="O425" s="609" t="str">
        <f t="shared" si="96"/>
        <v/>
      </c>
      <c r="P425" s="609" t="str">
        <f t="shared" si="96"/>
        <v/>
      </c>
      <c r="Q425" s="609" t="str">
        <f t="shared" si="96"/>
        <v/>
      </c>
      <c r="R425" s="609" t="str">
        <f t="shared" si="96"/>
        <v/>
      </c>
      <c r="S425" s="609" t="str">
        <f t="shared" si="96"/>
        <v/>
      </c>
      <c r="T425" s="609" t="str">
        <f t="shared" si="96"/>
        <v/>
      </c>
      <c r="U425" s="609" t="str">
        <f t="shared" si="96"/>
        <v/>
      </c>
      <c r="V425" s="609" t="str">
        <f t="shared" si="96"/>
        <v/>
      </c>
      <c r="W425" s="609" t="str">
        <f t="shared" si="96"/>
        <v/>
      </c>
      <c r="X425" s="609" t="str">
        <f t="shared" si="95"/>
        <v/>
      </c>
      <c r="Y425" s="609" t="str">
        <f t="shared" si="95"/>
        <v/>
      </c>
      <c r="Z425" s="609" t="str">
        <f t="shared" si="95"/>
        <v/>
      </c>
      <c r="AA425" s="609" t="str">
        <f t="shared" si="95"/>
        <v/>
      </c>
      <c r="AB425" s="609" t="str">
        <f t="shared" si="95"/>
        <v/>
      </c>
      <c r="AC425" s="609" t="str">
        <f t="shared" si="95"/>
        <v/>
      </c>
      <c r="AD425" s="609" t="str">
        <f t="shared" si="95"/>
        <v/>
      </c>
      <c r="AE425" s="609" t="str">
        <f t="shared" si="95"/>
        <v/>
      </c>
      <c r="AF425" s="609" t="str">
        <f t="shared" si="95"/>
        <v/>
      </c>
      <c r="AG425" s="609" t="str">
        <f t="shared" si="95"/>
        <v/>
      </c>
      <c r="AH425" s="609" t="str">
        <f t="shared" si="95"/>
        <v/>
      </c>
      <c r="AI425" s="609" t="str">
        <f t="shared" si="95"/>
        <v/>
      </c>
      <c r="AJ425" s="609" t="str">
        <f t="shared" si="95"/>
        <v/>
      </c>
      <c r="AK425" s="609" t="str">
        <f t="shared" si="95"/>
        <v/>
      </c>
      <c r="AL425" s="609" t="str">
        <f t="shared" si="95"/>
        <v/>
      </c>
      <c r="AM425" s="609" t="str">
        <f t="shared" si="94"/>
        <v/>
      </c>
      <c r="AN425" s="609" t="str">
        <f t="shared" si="94"/>
        <v/>
      </c>
      <c r="AO425" s="609" t="str">
        <f t="shared" si="94"/>
        <v/>
      </c>
      <c r="AP425" s="609" t="str">
        <f t="shared" si="94"/>
        <v/>
      </c>
      <c r="AQ425" s="609" t="str">
        <f t="shared" si="94"/>
        <v/>
      </c>
      <c r="AR425" s="609" t="str">
        <f t="shared" si="94"/>
        <v/>
      </c>
      <c r="AS425" s="609" t="str">
        <f t="shared" si="94"/>
        <v/>
      </c>
      <c r="AT425" s="609" t="str">
        <f t="shared" si="94"/>
        <v/>
      </c>
      <c r="AU425" s="609" t="str">
        <f t="shared" si="94"/>
        <v/>
      </c>
      <c r="AV425" s="609" t="str">
        <f t="shared" si="94"/>
        <v/>
      </c>
      <c r="AW425" s="609" t="str">
        <f t="shared" si="94"/>
        <v/>
      </c>
      <c r="AX425" s="609" t="str">
        <f t="shared" si="94"/>
        <v/>
      </c>
      <c r="AY425" s="609" t="str">
        <f t="shared" si="94"/>
        <v/>
      </c>
      <c r="AZ425" s="609" t="str">
        <f t="shared" si="94"/>
        <v/>
      </c>
      <c r="BA425" s="609" t="str">
        <f t="shared" si="94"/>
        <v/>
      </c>
      <c r="BB425" s="609" t="str">
        <f t="shared" si="94"/>
        <v/>
      </c>
      <c r="BC425" s="609" t="str">
        <f t="shared" si="93"/>
        <v/>
      </c>
      <c r="BD425" s="609" t="str">
        <f t="shared" si="93"/>
        <v/>
      </c>
      <c r="BE425" s="609" t="str">
        <f t="shared" si="93"/>
        <v/>
      </c>
      <c r="BF425" s="609" t="str">
        <f t="shared" si="93"/>
        <v/>
      </c>
      <c r="BG425" s="609" t="str">
        <f t="shared" si="93"/>
        <v/>
      </c>
    </row>
    <row r="426" spans="2:59" x14ac:dyDescent="0.25">
      <c r="B426" s="654">
        <v>420</v>
      </c>
      <c r="C426" s="654"/>
      <c r="D426" s="654"/>
      <c r="E426" s="655"/>
      <c r="F426" s="654"/>
      <c r="H426" s="609" t="str">
        <f t="shared" si="96"/>
        <v/>
      </c>
      <c r="I426" s="609" t="str">
        <f t="shared" si="96"/>
        <v/>
      </c>
      <c r="J426" s="609" t="str">
        <f t="shared" si="96"/>
        <v/>
      </c>
      <c r="K426" s="609" t="str">
        <f t="shared" si="96"/>
        <v/>
      </c>
      <c r="L426" s="609" t="str">
        <f t="shared" si="96"/>
        <v/>
      </c>
      <c r="M426" s="609" t="str">
        <f t="shared" si="96"/>
        <v/>
      </c>
      <c r="N426" s="609" t="str">
        <f t="shared" si="96"/>
        <v/>
      </c>
      <c r="O426" s="609" t="str">
        <f t="shared" si="96"/>
        <v/>
      </c>
      <c r="P426" s="609" t="str">
        <f t="shared" si="96"/>
        <v/>
      </c>
      <c r="Q426" s="609" t="str">
        <f t="shared" si="96"/>
        <v/>
      </c>
      <c r="R426" s="609" t="str">
        <f t="shared" si="96"/>
        <v/>
      </c>
      <c r="S426" s="609" t="str">
        <f t="shared" si="96"/>
        <v/>
      </c>
      <c r="T426" s="609" t="str">
        <f t="shared" si="96"/>
        <v/>
      </c>
      <c r="U426" s="609" t="str">
        <f t="shared" si="96"/>
        <v/>
      </c>
      <c r="V426" s="609" t="str">
        <f t="shared" si="96"/>
        <v/>
      </c>
      <c r="W426" s="609" t="str">
        <f t="shared" si="96"/>
        <v/>
      </c>
      <c r="X426" s="609" t="str">
        <f t="shared" si="95"/>
        <v/>
      </c>
      <c r="Y426" s="609" t="str">
        <f t="shared" si="95"/>
        <v/>
      </c>
      <c r="Z426" s="609" t="str">
        <f t="shared" si="95"/>
        <v/>
      </c>
      <c r="AA426" s="609" t="str">
        <f t="shared" si="95"/>
        <v/>
      </c>
      <c r="AB426" s="609" t="str">
        <f t="shared" si="95"/>
        <v/>
      </c>
      <c r="AC426" s="609" t="str">
        <f t="shared" si="95"/>
        <v/>
      </c>
      <c r="AD426" s="609" t="str">
        <f t="shared" si="95"/>
        <v/>
      </c>
      <c r="AE426" s="609" t="str">
        <f t="shared" si="95"/>
        <v/>
      </c>
      <c r="AF426" s="609" t="str">
        <f t="shared" si="95"/>
        <v/>
      </c>
      <c r="AG426" s="609" t="str">
        <f t="shared" si="95"/>
        <v/>
      </c>
      <c r="AH426" s="609" t="str">
        <f t="shared" si="95"/>
        <v/>
      </c>
      <c r="AI426" s="609" t="str">
        <f t="shared" si="95"/>
        <v/>
      </c>
      <c r="AJ426" s="609" t="str">
        <f t="shared" si="95"/>
        <v/>
      </c>
      <c r="AK426" s="609" t="str">
        <f t="shared" si="95"/>
        <v/>
      </c>
      <c r="AL426" s="609" t="str">
        <f t="shared" si="95"/>
        <v/>
      </c>
      <c r="AM426" s="609" t="str">
        <f t="shared" si="94"/>
        <v/>
      </c>
      <c r="AN426" s="609" t="str">
        <f t="shared" si="94"/>
        <v/>
      </c>
      <c r="AO426" s="609" t="str">
        <f t="shared" si="94"/>
        <v/>
      </c>
      <c r="AP426" s="609" t="str">
        <f t="shared" si="94"/>
        <v/>
      </c>
      <c r="AQ426" s="609" t="str">
        <f t="shared" si="94"/>
        <v/>
      </c>
      <c r="AR426" s="609" t="str">
        <f t="shared" si="94"/>
        <v/>
      </c>
      <c r="AS426" s="609" t="str">
        <f t="shared" si="94"/>
        <v/>
      </c>
      <c r="AT426" s="609" t="str">
        <f t="shared" si="94"/>
        <v/>
      </c>
      <c r="AU426" s="609" t="str">
        <f t="shared" si="94"/>
        <v/>
      </c>
      <c r="AV426" s="609" t="str">
        <f t="shared" si="94"/>
        <v/>
      </c>
      <c r="AW426" s="609" t="str">
        <f t="shared" si="94"/>
        <v/>
      </c>
      <c r="AX426" s="609" t="str">
        <f t="shared" si="94"/>
        <v/>
      </c>
      <c r="AY426" s="609" t="str">
        <f t="shared" si="94"/>
        <v/>
      </c>
      <c r="AZ426" s="609" t="str">
        <f t="shared" si="94"/>
        <v/>
      </c>
      <c r="BA426" s="609" t="str">
        <f t="shared" si="94"/>
        <v/>
      </c>
      <c r="BB426" s="609" t="str">
        <f t="shared" ref="BB426:BG441" si="97">IF($D426=BB$6,$B426&amp;", ","")</f>
        <v/>
      </c>
      <c r="BC426" s="609" t="str">
        <f t="shared" si="97"/>
        <v/>
      </c>
      <c r="BD426" s="609" t="str">
        <f t="shared" si="97"/>
        <v/>
      </c>
      <c r="BE426" s="609" t="str">
        <f t="shared" si="97"/>
        <v/>
      </c>
      <c r="BF426" s="609" t="str">
        <f t="shared" si="97"/>
        <v/>
      </c>
      <c r="BG426" s="609" t="str">
        <f t="shared" si="97"/>
        <v/>
      </c>
    </row>
    <row r="427" spans="2:59" x14ac:dyDescent="0.25">
      <c r="B427" s="654">
        <v>421</v>
      </c>
      <c r="C427" s="654"/>
      <c r="D427" s="654"/>
      <c r="E427" s="655"/>
      <c r="F427" s="654"/>
      <c r="H427" s="609" t="str">
        <f t="shared" si="96"/>
        <v/>
      </c>
      <c r="I427" s="609" t="str">
        <f t="shared" si="96"/>
        <v/>
      </c>
      <c r="J427" s="609" t="str">
        <f t="shared" si="96"/>
        <v/>
      </c>
      <c r="K427" s="609" t="str">
        <f t="shared" si="96"/>
        <v/>
      </c>
      <c r="L427" s="609" t="str">
        <f t="shared" si="96"/>
        <v/>
      </c>
      <c r="M427" s="609" t="str">
        <f t="shared" si="96"/>
        <v/>
      </c>
      <c r="N427" s="609" t="str">
        <f t="shared" si="96"/>
        <v/>
      </c>
      <c r="O427" s="609" t="str">
        <f t="shared" si="96"/>
        <v/>
      </c>
      <c r="P427" s="609" t="str">
        <f t="shared" si="96"/>
        <v/>
      </c>
      <c r="Q427" s="609" t="str">
        <f t="shared" si="96"/>
        <v/>
      </c>
      <c r="R427" s="609" t="str">
        <f t="shared" si="96"/>
        <v/>
      </c>
      <c r="S427" s="609" t="str">
        <f t="shared" si="96"/>
        <v/>
      </c>
      <c r="T427" s="609" t="str">
        <f t="shared" si="96"/>
        <v/>
      </c>
      <c r="U427" s="609" t="str">
        <f t="shared" si="96"/>
        <v/>
      </c>
      <c r="V427" s="609" t="str">
        <f t="shared" si="96"/>
        <v/>
      </c>
      <c r="W427" s="609" t="str">
        <f t="shared" si="96"/>
        <v/>
      </c>
      <c r="X427" s="609" t="str">
        <f t="shared" si="95"/>
        <v/>
      </c>
      <c r="Y427" s="609" t="str">
        <f t="shared" si="95"/>
        <v/>
      </c>
      <c r="Z427" s="609" t="str">
        <f t="shared" si="95"/>
        <v/>
      </c>
      <c r="AA427" s="609" t="str">
        <f t="shared" si="95"/>
        <v/>
      </c>
      <c r="AB427" s="609" t="str">
        <f t="shared" si="95"/>
        <v/>
      </c>
      <c r="AC427" s="609" t="str">
        <f t="shared" si="95"/>
        <v/>
      </c>
      <c r="AD427" s="609" t="str">
        <f t="shared" si="95"/>
        <v/>
      </c>
      <c r="AE427" s="609" t="str">
        <f t="shared" si="95"/>
        <v/>
      </c>
      <c r="AF427" s="609" t="str">
        <f t="shared" si="95"/>
        <v/>
      </c>
      <c r="AG427" s="609" t="str">
        <f t="shared" si="95"/>
        <v/>
      </c>
      <c r="AH427" s="609" t="str">
        <f t="shared" si="95"/>
        <v/>
      </c>
      <c r="AI427" s="609" t="str">
        <f t="shared" si="95"/>
        <v/>
      </c>
      <c r="AJ427" s="609" t="str">
        <f t="shared" si="95"/>
        <v/>
      </c>
      <c r="AK427" s="609" t="str">
        <f t="shared" si="95"/>
        <v/>
      </c>
      <c r="AL427" s="609" t="str">
        <f t="shared" si="95"/>
        <v/>
      </c>
      <c r="AM427" s="609" t="str">
        <f t="shared" ref="AM427:BB442" si="98">IF($D427=AM$6,$B427&amp;", ","")</f>
        <v/>
      </c>
      <c r="AN427" s="609" t="str">
        <f t="shared" si="98"/>
        <v/>
      </c>
      <c r="AO427" s="609" t="str">
        <f t="shared" si="98"/>
        <v/>
      </c>
      <c r="AP427" s="609" t="str">
        <f t="shared" si="98"/>
        <v/>
      </c>
      <c r="AQ427" s="609" t="str">
        <f t="shared" si="98"/>
        <v/>
      </c>
      <c r="AR427" s="609" t="str">
        <f t="shared" si="98"/>
        <v/>
      </c>
      <c r="AS427" s="609" t="str">
        <f t="shared" si="98"/>
        <v/>
      </c>
      <c r="AT427" s="609" t="str">
        <f t="shared" si="98"/>
        <v/>
      </c>
      <c r="AU427" s="609" t="str">
        <f t="shared" si="98"/>
        <v/>
      </c>
      <c r="AV427" s="609" t="str">
        <f t="shared" si="98"/>
        <v/>
      </c>
      <c r="AW427" s="609" t="str">
        <f t="shared" si="98"/>
        <v/>
      </c>
      <c r="AX427" s="609" t="str">
        <f t="shared" si="98"/>
        <v/>
      </c>
      <c r="AY427" s="609" t="str">
        <f t="shared" si="98"/>
        <v/>
      </c>
      <c r="AZ427" s="609" t="str">
        <f t="shared" si="98"/>
        <v/>
      </c>
      <c r="BA427" s="609" t="str">
        <f t="shared" si="98"/>
        <v/>
      </c>
      <c r="BB427" s="609" t="str">
        <f t="shared" si="98"/>
        <v/>
      </c>
      <c r="BC427" s="609" t="str">
        <f t="shared" si="97"/>
        <v/>
      </c>
      <c r="BD427" s="609" t="str">
        <f t="shared" si="97"/>
        <v/>
      </c>
      <c r="BE427" s="609" t="str">
        <f t="shared" si="97"/>
        <v/>
      </c>
      <c r="BF427" s="609" t="str">
        <f t="shared" si="97"/>
        <v/>
      </c>
      <c r="BG427" s="609" t="str">
        <f t="shared" si="97"/>
        <v/>
      </c>
    </row>
    <row r="428" spans="2:59" x14ac:dyDescent="0.25">
      <c r="B428" s="654">
        <v>422</v>
      </c>
      <c r="C428" s="654"/>
      <c r="D428" s="654"/>
      <c r="E428" s="655"/>
      <c r="F428" s="654"/>
      <c r="H428" s="609" t="str">
        <f t="shared" si="96"/>
        <v/>
      </c>
      <c r="I428" s="609" t="str">
        <f t="shared" si="96"/>
        <v/>
      </c>
      <c r="J428" s="609" t="str">
        <f t="shared" si="96"/>
        <v/>
      </c>
      <c r="K428" s="609" t="str">
        <f t="shared" si="96"/>
        <v/>
      </c>
      <c r="L428" s="609" t="str">
        <f t="shared" si="96"/>
        <v/>
      </c>
      <c r="M428" s="609" t="str">
        <f t="shared" si="96"/>
        <v/>
      </c>
      <c r="N428" s="609" t="str">
        <f t="shared" si="96"/>
        <v/>
      </c>
      <c r="O428" s="609" t="str">
        <f t="shared" si="96"/>
        <v/>
      </c>
      <c r="P428" s="609" t="str">
        <f t="shared" si="96"/>
        <v/>
      </c>
      <c r="Q428" s="609" t="str">
        <f t="shared" si="96"/>
        <v/>
      </c>
      <c r="R428" s="609" t="str">
        <f t="shared" si="96"/>
        <v/>
      </c>
      <c r="S428" s="609" t="str">
        <f t="shared" si="96"/>
        <v/>
      </c>
      <c r="T428" s="609" t="str">
        <f t="shared" si="96"/>
        <v/>
      </c>
      <c r="U428" s="609" t="str">
        <f t="shared" si="96"/>
        <v/>
      </c>
      <c r="V428" s="609" t="str">
        <f t="shared" si="96"/>
        <v/>
      </c>
      <c r="W428" s="609" t="str">
        <f t="shared" si="96"/>
        <v/>
      </c>
      <c r="X428" s="609" t="str">
        <f t="shared" si="95"/>
        <v/>
      </c>
      <c r="Y428" s="609" t="str">
        <f t="shared" si="95"/>
        <v/>
      </c>
      <c r="Z428" s="609" t="str">
        <f t="shared" si="95"/>
        <v/>
      </c>
      <c r="AA428" s="609" t="str">
        <f t="shared" si="95"/>
        <v/>
      </c>
      <c r="AB428" s="609" t="str">
        <f t="shared" si="95"/>
        <v/>
      </c>
      <c r="AC428" s="609" t="str">
        <f t="shared" si="95"/>
        <v/>
      </c>
      <c r="AD428" s="609" t="str">
        <f t="shared" si="95"/>
        <v/>
      </c>
      <c r="AE428" s="609" t="str">
        <f t="shared" si="95"/>
        <v/>
      </c>
      <c r="AF428" s="609" t="str">
        <f t="shared" si="95"/>
        <v/>
      </c>
      <c r="AG428" s="609" t="str">
        <f t="shared" si="95"/>
        <v/>
      </c>
      <c r="AH428" s="609" t="str">
        <f t="shared" si="95"/>
        <v/>
      </c>
      <c r="AI428" s="609" t="str">
        <f t="shared" si="95"/>
        <v/>
      </c>
      <c r="AJ428" s="609" t="str">
        <f t="shared" si="95"/>
        <v/>
      </c>
      <c r="AK428" s="609" t="str">
        <f t="shared" si="95"/>
        <v/>
      </c>
      <c r="AL428" s="609" t="str">
        <f t="shared" si="95"/>
        <v/>
      </c>
      <c r="AM428" s="609" t="str">
        <f t="shared" si="98"/>
        <v/>
      </c>
      <c r="AN428" s="609" t="str">
        <f t="shared" si="98"/>
        <v/>
      </c>
      <c r="AO428" s="609" t="str">
        <f t="shared" si="98"/>
        <v/>
      </c>
      <c r="AP428" s="609" t="str">
        <f t="shared" si="98"/>
        <v/>
      </c>
      <c r="AQ428" s="609" t="str">
        <f t="shared" si="98"/>
        <v/>
      </c>
      <c r="AR428" s="609" t="str">
        <f t="shared" si="98"/>
        <v/>
      </c>
      <c r="AS428" s="609" t="str">
        <f t="shared" si="98"/>
        <v/>
      </c>
      <c r="AT428" s="609" t="str">
        <f t="shared" si="98"/>
        <v/>
      </c>
      <c r="AU428" s="609" t="str">
        <f t="shared" si="98"/>
        <v/>
      </c>
      <c r="AV428" s="609" t="str">
        <f t="shared" si="98"/>
        <v/>
      </c>
      <c r="AW428" s="609" t="str">
        <f t="shared" si="98"/>
        <v/>
      </c>
      <c r="AX428" s="609" t="str">
        <f t="shared" si="98"/>
        <v/>
      </c>
      <c r="AY428" s="609" t="str">
        <f t="shared" si="98"/>
        <v/>
      </c>
      <c r="AZ428" s="609" t="str">
        <f t="shared" si="98"/>
        <v/>
      </c>
      <c r="BA428" s="609" t="str">
        <f t="shared" si="98"/>
        <v/>
      </c>
      <c r="BB428" s="609" t="str">
        <f t="shared" si="98"/>
        <v/>
      </c>
      <c r="BC428" s="609" t="str">
        <f t="shared" si="97"/>
        <v/>
      </c>
      <c r="BD428" s="609" t="str">
        <f t="shared" si="97"/>
        <v/>
      </c>
      <c r="BE428" s="609" t="str">
        <f t="shared" si="97"/>
        <v/>
      </c>
      <c r="BF428" s="609" t="str">
        <f t="shared" si="97"/>
        <v/>
      </c>
      <c r="BG428" s="609" t="str">
        <f t="shared" si="97"/>
        <v/>
      </c>
    </row>
    <row r="429" spans="2:59" x14ac:dyDescent="0.25">
      <c r="B429" s="654">
        <v>423</v>
      </c>
      <c r="C429" s="654"/>
      <c r="D429" s="654"/>
      <c r="E429" s="655"/>
      <c r="F429" s="654"/>
      <c r="H429" s="609" t="str">
        <f t="shared" si="96"/>
        <v/>
      </c>
      <c r="I429" s="609" t="str">
        <f t="shared" si="96"/>
        <v/>
      </c>
      <c r="J429" s="609" t="str">
        <f t="shared" si="96"/>
        <v/>
      </c>
      <c r="K429" s="609" t="str">
        <f t="shared" si="96"/>
        <v/>
      </c>
      <c r="L429" s="609" t="str">
        <f t="shared" si="96"/>
        <v/>
      </c>
      <c r="M429" s="609" t="str">
        <f t="shared" si="96"/>
        <v/>
      </c>
      <c r="N429" s="609" t="str">
        <f t="shared" si="96"/>
        <v/>
      </c>
      <c r="O429" s="609" t="str">
        <f t="shared" si="96"/>
        <v/>
      </c>
      <c r="P429" s="609" t="str">
        <f t="shared" si="96"/>
        <v/>
      </c>
      <c r="Q429" s="609" t="str">
        <f t="shared" si="96"/>
        <v/>
      </c>
      <c r="R429" s="609" t="str">
        <f t="shared" si="96"/>
        <v/>
      </c>
      <c r="S429" s="609" t="str">
        <f t="shared" si="96"/>
        <v/>
      </c>
      <c r="T429" s="609" t="str">
        <f t="shared" si="96"/>
        <v/>
      </c>
      <c r="U429" s="609" t="str">
        <f t="shared" si="96"/>
        <v/>
      </c>
      <c r="V429" s="609" t="str">
        <f t="shared" si="96"/>
        <v/>
      </c>
      <c r="W429" s="609" t="str">
        <f t="shared" si="96"/>
        <v/>
      </c>
      <c r="X429" s="609" t="str">
        <f t="shared" si="95"/>
        <v/>
      </c>
      <c r="Y429" s="609" t="str">
        <f t="shared" si="95"/>
        <v/>
      </c>
      <c r="Z429" s="609" t="str">
        <f t="shared" si="95"/>
        <v/>
      </c>
      <c r="AA429" s="609" t="str">
        <f t="shared" si="95"/>
        <v/>
      </c>
      <c r="AB429" s="609" t="str">
        <f t="shared" si="95"/>
        <v/>
      </c>
      <c r="AC429" s="609" t="str">
        <f t="shared" si="95"/>
        <v/>
      </c>
      <c r="AD429" s="609" t="str">
        <f t="shared" si="95"/>
        <v/>
      </c>
      <c r="AE429" s="609" t="str">
        <f t="shared" si="95"/>
        <v/>
      </c>
      <c r="AF429" s="609" t="str">
        <f t="shared" si="95"/>
        <v/>
      </c>
      <c r="AG429" s="609" t="str">
        <f t="shared" si="95"/>
        <v/>
      </c>
      <c r="AH429" s="609" t="str">
        <f t="shared" si="95"/>
        <v/>
      </c>
      <c r="AI429" s="609" t="str">
        <f t="shared" si="95"/>
        <v/>
      </c>
      <c r="AJ429" s="609" t="str">
        <f t="shared" si="95"/>
        <v/>
      </c>
      <c r="AK429" s="609" t="str">
        <f t="shared" si="95"/>
        <v/>
      </c>
      <c r="AL429" s="609" t="str">
        <f t="shared" si="95"/>
        <v/>
      </c>
      <c r="AM429" s="609" t="str">
        <f t="shared" si="98"/>
        <v/>
      </c>
      <c r="AN429" s="609" t="str">
        <f t="shared" si="98"/>
        <v/>
      </c>
      <c r="AO429" s="609" t="str">
        <f t="shared" si="98"/>
        <v/>
      </c>
      <c r="AP429" s="609" t="str">
        <f t="shared" si="98"/>
        <v/>
      </c>
      <c r="AQ429" s="609" t="str">
        <f t="shared" si="98"/>
        <v/>
      </c>
      <c r="AR429" s="609" t="str">
        <f t="shared" si="98"/>
        <v/>
      </c>
      <c r="AS429" s="609" t="str">
        <f t="shared" si="98"/>
        <v/>
      </c>
      <c r="AT429" s="609" t="str">
        <f t="shared" si="98"/>
        <v/>
      </c>
      <c r="AU429" s="609" t="str">
        <f t="shared" si="98"/>
        <v/>
      </c>
      <c r="AV429" s="609" t="str">
        <f t="shared" si="98"/>
        <v/>
      </c>
      <c r="AW429" s="609" t="str">
        <f t="shared" si="98"/>
        <v/>
      </c>
      <c r="AX429" s="609" t="str">
        <f t="shared" si="98"/>
        <v/>
      </c>
      <c r="AY429" s="609" t="str">
        <f t="shared" si="98"/>
        <v/>
      </c>
      <c r="AZ429" s="609" t="str">
        <f t="shared" si="98"/>
        <v/>
      </c>
      <c r="BA429" s="609" t="str">
        <f t="shared" si="98"/>
        <v/>
      </c>
      <c r="BB429" s="609" t="str">
        <f t="shared" si="98"/>
        <v/>
      </c>
      <c r="BC429" s="609" t="str">
        <f t="shared" si="97"/>
        <v/>
      </c>
      <c r="BD429" s="609" t="str">
        <f t="shared" si="97"/>
        <v/>
      </c>
      <c r="BE429" s="609" t="str">
        <f t="shared" si="97"/>
        <v/>
      </c>
      <c r="BF429" s="609" t="str">
        <f t="shared" si="97"/>
        <v/>
      </c>
      <c r="BG429" s="609" t="str">
        <f t="shared" si="97"/>
        <v/>
      </c>
    </row>
    <row r="430" spans="2:59" x14ac:dyDescent="0.25">
      <c r="B430" s="654">
        <v>424</v>
      </c>
      <c r="C430" s="654"/>
      <c r="D430" s="654"/>
      <c r="E430" s="655"/>
      <c r="F430" s="654"/>
      <c r="H430" s="609" t="str">
        <f t="shared" si="96"/>
        <v/>
      </c>
      <c r="I430" s="609" t="str">
        <f t="shared" si="96"/>
        <v/>
      </c>
      <c r="J430" s="609" t="str">
        <f t="shared" si="96"/>
        <v/>
      </c>
      <c r="K430" s="609" t="str">
        <f t="shared" si="96"/>
        <v/>
      </c>
      <c r="L430" s="609" t="str">
        <f t="shared" si="96"/>
        <v/>
      </c>
      <c r="M430" s="609" t="str">
        <f t="shared" si="96"/>
        <v/>
      </c>
      <c r="N430" s="609" t="str">
        <f t="shared" si="96"/>
        <v/>
      </c>
      <c r="O430" s="609" t="str">
        <f t="shared" si="96"/>
        <v/>
      </c>
      <c r="P430" s="609" t="str">
        <f t="shared" si="96"/>
        <v/>
      </c>
      <c r="Q430" s="609" t="str">
        <f t="shared" si="96"/>
        <v/>
      </c>
      <c r="R430" s="609" t="str">
        <f t="shared" si="96"/>
        <v/>
      </c>
      <c r="S430" s="609" t="str">
        <f t="shared" si="96"/>
        <v/>
      </c>
      <c r="T430" s="609" t="str">
        <f t="shared" si="96"/>
        <v/>
      </c>
      <c r="U430" s="609" t="str">
        <f t="shared" si="96"/>
        <v/>
      </c>
      <c r="V430" s="609" t="str">
        <f t="shared" si="96"/>
        <v/>
      </c>
      <c r="W430" s="609" t="str">
        <f t="shared" si="96"/>
        <v/>
      </c>
      <c r="X430" s="609" t="str">
        <f t="shared" si="95"/>
        <v/>
      </c>
      <c r="Y430" s="609" t="str">
        <f t="shared" si="95"/>
        <v/>
      </c>
      <c r="Z430" s="609" t="str">
        <f t="shared" si="95"/>
        <v/>
      </c>
      <c r="AA430" s="609" t="str">
        <f t="shared" si="95"/>
        <v/>
      </c>
      <c r="AB430" s="609" t="str">
        <f t="shared" si="95"/>
        <v/>
      </c>
      <c r="AC430" s="609" t="str">
        <f t="shared" si="95"/>
        <v/>
      </c>
      <c r="AD430" s="609" t="str">
        <f t="shared" si="95"/>
        <v/>
      </c>
      <c r="AE430" s="609" t="str">
        <f t="shared" si="95"/>
        <v/>
      </c>
      <c r="AF430" s="609" t="str">
        <f t="shared" si="95"/>
        <v/>
      </c>
      <c r="AG430" s="609" t="str">
        <f t="shared" si="95"/>
        <v/>
      </c>
      <c r="AH430" s="609" t="str">
        <f t="shared" si="95"/>
        <v/>
      </c>
      <c r="AI430" s="609" t="str">
        <f t="shared" si="95"/>
        <v/>
      </c>
      <c r="AJ430" s="609" t="str">
        <f t="shared" si="95"/>
        <v/>
      </c>
      <c r="AK430" s="609" t="str">
        <f t="shared" si="95"/>
        <v/>
      </c>
      <c r="AL430" s="609" t="str">
        <f t="shared" si="95"/>
        <v/>
      </c>
      <c r="AM430" s="609" t="str">
        <f t="shared" si="98"/>
        <v/>
      </c>
      <c r="AN430" s="609" t="str">
        <f t="shared" si="98"/>
        <v/>
      </c>
      <c r="AO430" s="609" t="str">
        <f t="shared" si="98"/>
        <v/>
      </c>
      <c r="AP430" s="609" t="str">
        <f t="shared" si="98"/>
        <v/>
      </c>
      <c r="AQ430" s="609" t="str">
        <f t="shared" si="98"/>
        <v/>
      </c>
      <c r="AR430" s="609" t="str">
        <f t="shared" si="98"/>
        <v/>
      </c>
      <c r="AS430" s="609" t="str">
        <f t="shared" si="98"/>
        <v/>
      </c>
      <c r="AT430" s="609" t="str">
        <f t="shared" si="98"/>
        <v/>
      </c>
      <c r="AU430" s="609" t="str">
        <f t="shared" si="98"/>
        <v/>
      </c>
      <c r="AV430" s="609" t="str">
        <f t="shared" si="98"/>
        <v/>
      </c>
      <c r="AW430" s="609" t="str">
        <f t="shared" si="98"/>
        <v/>
      </c>
      <c r="AX430" s="609" t="str">
        <f t="shared" si="98"/>
        <v/>
      </c>
      <c r="AY430" s="609" t="str">
        <f t="shared" si="98"/>
        <v/>
      </c>
      <c r="AZ430" s="609" t="str">
        <f t="shared" si="98"/>
        <v/>
      </c>
      <c r="BA430" s="609" t="str">
        <f t="shared" si="98"/>
        <v/>
      </c>
      <c r="BB430" s="609" t="str">
        <f t="shared" si="98"/>
        <v/>
      </c>
      <c r="BC430" s="609" t="str">
        <f t="shared" si="97"/>
        <v/>
      </c>
      <c r="BD430" s="609" t="str">
        <f t="shared" si="97"/>
        <v/>
      </c>
      <c r="BE430" s="609" t="str">
        <f t="shared" si="97"/>
        <v/>
      </c>
      <c r="BF430" s="609" t="str">
        <f t="shared" si="97"/>
        <v/>
      </c>
      <c r="BG430" s="609" t="str">
        <f t="shared" si="97"/>
        <v/>
      </c>
    </row>
    <row r="431" spans="2:59" x14ac:dyDescent="0.25">
      <c r="B431" s="654">
        <v>425</v>
      </c>
      <c r="C431" s="654"/>
      <c r="D431" s="654"/>
      <c r="E431" s="655"/>
      <c r="F431" s="654"/>
      <c r="H431" s="609" t="str">
        <f t="shared" si="96"/>
        <v/>
      </c>
      <c r="I431" s="609" t="str">
        <f t="shared" si="96"/>
        <v/>
      </c>
      <c r="J431" s="609" t="str">
        <f t="shared" si="96"/>
        <v/>
      </c>
      <c r="K431" s="609" t="str">
        <f t="shared" si="96"/>
        <v/>
      </c>
      <c r="L431" s="609" t="str">
        <f t="shared" si="96"/>
        <v/>
      </c>
      <c r="M431" s="609" t="str">
        <f t="shared" si="96"/>
        <v/>
      </c>
      <c r="N431" s="609" t="str">
        <f t="shared" si="96"/>
        <v/>
      </c>
      <c r="O431" s="609" t="str">
        <f t="shared" si="96"/>
        <v/>
      </c>
      <c r="P431" s="609" t="str">
        <f t="shared" si="96"/>
        <v/>
      </c>
      <c r="Q431" s="609" t="str">
        <f t="shared" si="96"/>
        <v/>
      </c>
      <c r="R431" s="609" t="str">
        <f t="shared" si="96"/>
        <v/>
      </c>
      <c r="S431" s="609" t="str">
        <f t="shared" si="96"/>
        <v/>
      </c>
      <c r="T431" s="609" t="str">
        <f t="shared" si="96"/>
        <v/>
      </c>
      <c r="U431" s="609" t="str">
        <f t="shared" si="96"/>
        <v/>
      </c>
      <c r="V431" s="609" t="str">
        <f t="shared" si="96"/>
        <v/>
      </c>
      <c r="W431" s="609" t="str">
        <f t="shared" si="96"/>
        <v/>
      </c>
      <c r="X431" s="609" t="str">
        <f t="shared" si="95"/>
        <v/>
      </c>
      <c r="Y431" s="609" t="str">
        <f t="shared" si="95"/>
        <v/>
      </c>
      <c r="Z431" s="609" t="str">
        <f t="shared" si="95"/>
        <v/>
      </c>
      <c r="AA431" s="609" t="str">
        <f t="shared" si="95"/>
        <v/>
      </c>
      <c r="AB431" s="609" t="str">
        <f t="shared" si="95"/>
        <v/>
      </c>
      <c r="AC431" s="609" t="str">
        <f t="shared" si="95"/>
        <v/>
      </c>
      <c r="AD431" s="609" t="str">
        <f t="shared" si="95"/>
        <v/>
      </c>
      <c r="AE431" s="609" t="str">
        <f t="shared" si="95"/>
        <v/>
      </c>
      <c r="AF431" s="609" t="str">
        <f t="shared" si="95"/>
        <v/>
      </c>
      <c r="AG431" s="609" t="str">
        <f t="shared" si="95"/>
        <v/>
      </c>
      <c r="AH431" s="609" t="str">
        <f t="shared" si="95"/>
        <v/>
      </c>
      <c r="AI431" s="609" t="str">
        <f t="shared" si="95"/>
        <v/>
      </c>
      <c r="AJ431" s="609" t="str">
        <f t="shared" si="95"/>
        <v/>
      </c>
      <c r="AK431" s="609" t="str">
        <f t="shared" si="95"/>
        <v/>
      </c>
      <c r="AL431" s="609" t="str">
        <f t="shared" si="95"/>
        <v/>
      </c>
      <c r="AM431" s="609" t="str">
        <f t="shared" si="98"/>
        <v/>
      </c>
      <c r="AN431" s="609" t="str">
        <f t="shared" si="98"/>
        <v/>
      </c>
      <c r="AO431" s="609" t="str">
        <f t="shared" si="98"/>
        <v/>
      </c>
      <c r="AP431" s="609" t="str">
        <f t="shared" si="98"/>
        <v/>
      </c>
      <c r="AQ431" s="609" t="str">
        <f t="shared" si="98"/>
        <v/>
      </c>
      <c r="AR431" s="609" t="str">
        <f t="shared" si="98"/>
        <v/>
      </c>
      <c r="AS431" s="609" t="str">
        <f t="shared" si="98"/>
        <v/>
      </c>
      <c r="AT431" s="609" t="str">
        <f t="shared" si="98"/>
        <v/>
      </c>
      <c r="AU431" s="609" t="str">
        <f t="shared" si="98"/>
        <v/>
      </c>
      <c r="AV431" s="609" t="str">
        <f t="shared" si="98"/>
        <v/>
      </c>
      <c r="AW431" s="609" t="str">
        <f t="shared" si="98"/>
        <v/>
      </c>
      <c r="AX431" s="609" t="str">
        <f t="shared" si="98"/>
        <v/>
      </c>
      <c r="AY431" s="609" t="str">
        <f t="shared" si="98"/>
        <v/>
      </c>
      <c r="AZ431" s="609" t="str">
        <f t="shared" si="98"/>
        <v/>
      </c>
      <c r="BA431" s="609" t="str">
        <f t="shared" si="98"/>
        <v/>
      </c>
      <c r="BB431" s="609" t="str">
        <f t="shared" si="98"/>
        <v/>
      </c>
      <c r="BC431" s="609" t="str">
        <f t="shared" si="97"/>
        <v/>
      </c>
      <c r="BD431" s="609" t="str">
        <f t="shared" si="97"/>
        <v/>
      </c>
      <c r="BE431" s="609" t="str">
        <f t="shared" si="97"/>
        <v/>
      </c>
      <c r="BF431" s="609" t="str">
        <f t="shared" si="97"/>
        <v/>
      </c>
      <c r="BG431" s="609" t="str">
        <f t="shared" si="97"/>
        <v/>
      </c>
    </row>
    <row r="432" spans="2:59" x14ac:dyDescent="0.25">
      <c r="B432" s="654">
        <v>426</v>
      </c>
      <c r="C432" s="654"/>
      <c r="D432" s="654"/>
      <c r="E432" s="655"/>
      <c r="F432" s="654"/>
      <c r="H432" s="609" t="str">
        <f t="shared" si="96"/>
        <v/>
      </c>
      <c r="I432" s="609" t="str">
        <f t="shared" si="96"/>
        <v/>
      </c>
      <c r="J432" s="609" t="str">
        <f t="shared" si="96"/>
        <v/>
      </c>
      <c r="K432" s="609" t="str">
        <f t="shared" si="96"/>
        <v/>
      </c>
      <c r="L432" s="609" t="str">
        <f t="shared" si="96"/>
        <v/>
      </c>
      <c r="M432" s="609" t="str">
        <f t="shared" si="96"/>
        <v/>
      </c>
      <c r="N432" s="609" t="str">
        <f t="shared" si="96"/>
        <v/>
      </c>
      <c r="O432" s="609" t="str">
        <f t="shared" si="96"/>
        <v/>
      </c>
      <c r="P432" s="609" t="str">
        <f t="shared" si="96"/>
        <v/>
      </c>
      <c r="Q432" s="609" t="str">
        <f t="shared" si="96"/>
        <v/>
      </c>
      <c r="R432" s="609" t="str">
        <f t="shared" si="96"/>
        <v/>
      </c>
      <c r="S432" s="609" t="str">
        <f t="shared" si="96"/>
        <v/>
      </c>
      <c r="T432" s="609" t="str">
        <f t="shared" si="96"/>
        <v/>
      </c>
      <c r="U432" s="609" t="str">
        <f t="shared" si="96"/>
        <v/>
      </c>
      <c r="V432" s="609" t="str">
        <f t="shared" si="96"/>
        <v/>
      </c>
      <c r="W432" s="609" t="str">
        <f t="shared" si="96"/>
        <v/>
      </c>
      <c r="X432" s="609" t="str">
        <f t="shared" si="95"/>
        <v/>
      </c>
      <c r="Y432" s="609" t="str">
        <f t="shared" si="95"/>
        <v/>
      </c>
      <c r="Z432" s="609" t="str">
        <f t="shared" si="95"/>
        <v/>
      </c>
      <c r="AA432" s="609" t="str">
        <f t="shared" si="95"/>
        <v/>
      </c>
      <c r="AB432" s="609" t="str">
        <f t="shared" si="95"/>
        <v/>
      </c>
      <c r="AC432" s="609" t="str">
        <f t="shared" si="95"/>
        <v/>
      </c>
      <c r="AD432" s="609" t="str">
        <f t="shared" si="95"/>
        <v/>
      </c>
      <c r="AE432" s="609" t="str">
        <f t="shared" si="95"/>
        <v/>
      </c>
      <c r="AF432" s="609" t="str">
        <f t="shared" si="95"/>
        <v/>
      </c>
      <c r="AG432" s="609" t="str">
        <f t="shared" si="95"/>
        <v/>
      </c>
      <c r="AH432" s="609" t="str">
        <f t="shared" si="95"/>
        <v/>
      </c>
      <c r="AI432" s="609" t="str">
        <f t="shared" si="95"/>
        <v/>
      </c>
      <c r="AJ432" s="609" t="str">
        <f t="shared" si="95"/>
        <v/>
      </c>
      <c r="AK432" s="609" t="str">
        <f t="shared" si="95"/>
        <v/>
      </c>
      <c r="AL432" s="609" t="str">
        <f t="shared" si="95"/>
        <v/>
      </c>
      <c r="AM432" s="609" t="str">
        <f t="shared" si="98"/>
        <v/>
      </c>
      <c r="AN432" s="609" t="str">
        <f t="shared" si="98"/>
        <v/>
      </c>
      <c r="AO432" s="609" t="str">
        <f t="shared" si="98"/>
        <v/>
      </c>
      <c r="AP432" s="609" t="str">
        <f t="shared" si="98"/>
        <v/>
      </c>
      <c r="AQ432" s="609" t="str">
        <f t="shared" si="98"/>
        <v/>
      </c>
      <c r="AR432" s="609" t="str">
        <f t="shared" si="98"/>
        <v/>
      </c>
      <c r="AS432" s="609" t="str">
        <f t="shared" si="98"/>
        <v/>
      </c>
      <c r="AT432" s="609" t="str">
        <f t="shared" si="98"/>
        <v/>
      </c>
      <c r="AU432" s="609" t="str">
        <f t="shared" si="98"/>
        <v/>
      </c>
      <c r="AV432" s="609" t="str">
        <f t="shared" si="98"/>
        <v/>
      </c>
      <c r="AW432" s="609" t="str">
        <f t="shared" si="98"/>
        <v/>
      </c>
      <c r="AX432" s="609" t="str">
        <f t="shared" si="98"/>
        <v/>
      </c>
      <c r="AY432" s="609" t="str">
        <f t="shared" si="98"/>
        <v/>
      </c>
      <c r="AZ432" s="609" t="str">
        <f t="shared" si="98"/>
        <v/>
      </c>
      <c r="BA432" s="609" t="str">
        <f t="shared" si="98"/>
        <v/>
      </c>
      <c r="BB432" s="609" t="str">
        <f t="shared" si="98"/>
        <v/>
      </c>
      <c r="BC432" s="609" t="str">
        <f t="shared" si="97"/>
        <v/>
      </c>
      <c r="BD432" s="609" t="str">
        <f t="shared" si="97"/>
        <v/>
      </c>
      <c r="BE432" s="609" t="str">
        <f t="shared" si="97"/>
        <v/>
      </c>
      <c r="BF432" s="609" t="str">
        <f t="shared" si="97"/>
        <v/>
      </c>
      <c r="BG432" s="609" t="str">
        <f t="shared" si="97"/>
        <v/>
      </c>
    </row>
    <row r="433" spans="2:59" x14ac:dyDescent="0.25">
      <c r="B433" s="654">
        <v>427</v>
      </c>
      <c r="C433" s="654"/>
      <c r="D433" s="654"/>
      <c r="E433" s="655"/>
      <c r="F433" s="654"/>
      <c r="H433" s="609" t="str">
        <f t="shared" si="96"/>
        <v/>
      </c>
      <c r="I433" s="609" t="str">
        <f t="shared" si="96"/>
        <v/>
      </c>
      <c r="J433" s="609" t="str">
        <f t="shared" si="96"/>
        <v/>
      </c>
      <c r="K433" s="609" t="str">
        <f t="shared" si="96"/>
        <v/>
      </c>
      <c r="L433" s="609" t="str">
        <f t="shared" si="96"/>
        <v/>
      </c>
      <c r="M433" s="609" t="str">
        <f t="shared" si="96"/>
        <v/>
      </c>
      <c r="N433" s="609" t="str">
        <f t="shared" si="96"/>
        <v/>
      </c>
      <c r="O433" s="609" t="str">
        <f t="shared" si="96"/>
        <v/>
      </c>
      <c r="P433" s="609" t="str">
        <f t="shared" si="96"/>
        <v/>
      </c>
      <c r="Q433" s="609" t="str">
        <f t="shared" si="96"/>
        <v/>
      </c>
      <c r="R433" s="609" t="str">
        <f t="shared" si="96"/>
        <v/>
      </c>
      <c r="S433" s="609" t="str">
        <f t="shared" si="96"/>
        <v/>
      </c>
      <c r="T433" s="609" t="str">
        <f t="shared" si="96"/>
        <v/>
      </c>
      <c r="U433" s="609" t="str">
        <f t="shared" si="96"/>
        <v/>
      </c>
      <c r="V433" s="609" t="str">
        <f t="shared" si="96"/>
        <v/>
      </c>
      <c r="W433" s="609" t="str">
        <f t="shared" si="96"/>
        <v/>
      </c>
      <c r="X433" s="609" t="str">
        <f t="shared" si="95"/>
        <v/>
      </c>
      <c r="Y433" s="609" t="str">
        <f t="shared" si="95"/>
        <v/>
      </c>
      <c r="Z433" s="609" t="str">
        <f t="shared" si="95"/>
        <v/>
      </c>
      <c r="AA433" s="609" t="str">
        <f t="shared" si="95"/>
        <v/>
      </c>
      <c r="AB433" s="609" t="str">
        <f t="shared" si="95"/>
        <v/>
      </c>
      <c r="AC433" s="609" t="str">
        <f t="shared" si="95"/>
        <v/>
      </c>
      <c r="AD433" s="609" t="str">
        <f t="shared" si="95"/>
        <v/>
      </c>
      <c r="AE433" s="609" t="str">
        <f t="shared" si="95"/>
        <v/>
      </c>
      <c r="AF433" s="609" t="str">
        <f t="shared" si="95"/>
        <v/>
      </c>
      <c r="AG433" s="609" t="str">
        <f t="shared" si="95"/>
        <v/>
      </c>
      <c r="AH433" s="609" t="str">
        <f t="shared" si="95"/>
        <v/>
      </c>
      <c r="AI433" s="609" t="str">
        <f t="shared" si="95"/>
        <v/>
      </c>
      <c r="AJ433" s="609" t="str">
        <f t="shared" si="95"/>
        <v/>
      </c>
      <c r="AK433" s="609" t="str">
        <f t="shared" si="95"/>
        <v/>
      </c>
      <c r="AL433" s="609" t="str">
        <f t="shared" si="95"/>
        <v/>
      </c>
      <c r="AM433" s="609" t="str">
        <f t="shared" si="98"/>
        <v/>
      </c>
      <c r="AN433" s="609" t="str">
        <f t="shared" si="98"/>
        <v/>
      </c>
      <c r="AO433" s="609" t="str">
        <f t="shared" si="98"/>
        <v/>
      </c>
      <c r="AP433" s="609" t="str">
        <f t="shared" si="98"/>
        <v/>
      </c>
      <c r="AQ433" s="609" t="str">
        <f t="shared" si="98"/>
        <v/>
      </c>
      <c r="AR433" s="609" t="str">
        <f t="shared" si="98"/>
        <v/>
      </c>
      <c r="AS433" s="609" t="str">
        <f t="shared" si="98"/>
        <v/>
      </c>
      <c r="AT433" s="609" t="str">
        <f t="shared" si="98"/>
        <v/>
      </c>
      <c r="AU433" s="609" t="str">
        <f t="shared" si="98"/>
        <v/>
      </c>
      <c r="AV433" s="609" t="str">
        <f t="shared" si="98"/>
        <v/>
      </c>
      <c r="AW433" s="609" t="str">
        <f t="shared" si="98"/>
        <v/>
      </c>
      <c r="AX433" s="609" t="str">
        <f t="shared" si="98"/>
        <v/>
      </c>
      <c r="AY433" s="609" t="str">
        <f t="shared" si="98"/>
        <v/>
      </c>
      <c r="AZ433" s="609" t="str">
        <f t="shared" si="98"/>
        <v/>
      </c>
      <c r="BA433" s="609" t="str">
        <f t="shared" si="98"/>
        <v/>
      </c>
      <c r="BB433" s="609" t="str">
        <f t="shared" si="98"/>
        <v/>
      </c>
      <c r="BC433" s="609" t="str">
        <f t="shared" si="97"/>
        <v/>
      </c>
      <c r="BD433" s="609" t="str">
        <f t="shared" si="97"/>
        <v/>
      </c>
      <c r="BE433" s="609" t="str">
        <f t="shared" si="97"/>
        <v/>
      </c>
      <c r="BF433" s="609" t="str">
        <f t="shared" si="97"/>
        <v/>
      </c>
      <c r="BG433" s="609" t="str">
        <f t="shared" si="97"/>
        <v/>
      </c>
    </row>
    <row r="434" spans="2:59" x14ac:dyDescent="0.25">
      <c r="B434" s="654">
        <v>428</v>
      </c>
      <c r="C434" s="654"/>
      <c r="D434" s="654"/>
      <c r="E434" s="655"/>
      <c r="F434" s="654"/>
      <c r="H434" s="609" t="str">
        <f t="shared" si="96"/>
        <v/>
      </c>
      <c r="I434" s="609" t="str">
        <f t="shared" si="96"/>
        <v/>
      </c>
      <c r="J434" s="609" t="str">
        <f t="shared" si="96"/>
        <v/>
      </c>
      <c r="K434" s="609" t="str">
        <f t="shared" si="96"/>
        <v/>
      </c>
      <c r="L434" s="609" t="str">
        <f t="shared" si="96"/>
        <v/>
      </c>
      <c r="M434" s="609" t="str">
        <f t="shared" si="96"/>
        <v/>
      </c>
      <c r="N434" s="609" t="str">
        <f t="shared" si="96"/>
        <v/>
      </c>
      <c r="O434" s="609" t="str">
        <f t="shared" si="96"/>
        <v/>
      </c>
      <c r="P434" s="609" t="str">
        <f t="shared" si="96"/>
        <v/>
      </c>
      <c r="Q434" s="609" t="str">
        <f t="shared" si="96"/>
        <v/>
      </c>
      <c r="R434" s="609" t="str">
        <f t="shared" si="96"/>
        <v/>
      </c>
      <c r="S434" s="609" t="str">
        <f t="shared" si="96"/>
        <v/>
      </c>
      <c r="T434" s="609" t="str">
        <f t="shared" si="96"/>
        <v/>
      </c>
      <c r="U434" s="609" t="str">
        <f t="shared" si="96"/>
        <v/>
      </c>
      <c r="V434" s="609" t="str">
        <f t="shared" si="96"/>
        <v/>
      </c>
      <c r="W434" s="609" t="str">
        <f t="shared" si="96"/>
        <v/>
      </c>
      <c r="X434" s="609" t="str">
        <f t="shared" si="95"/>
        <v/>
      </c>
      <c r="Y434" s="609" t="str">
        <f t="shared" si="95"/>
        <v/>
      </c>
      <c r="Z434" s="609" t="str">
        <f t="shared" si="95"/>
        <v/>
      </c>
      <c r="AA434" s="609" t="str">
        <f t="shared" si="95"/>
        <v/>
      </c>
      <c r="AB434" s="609" t="str">
        <f t="shared" si="95"/>
        <v/>
      </c>
      <c r="AC434" s="609" t="str">
        <f t="shared" si="95"/>
        <v/>
      </c>
      <c r="AD434" s="609" t="str">
        <f t="shared" si="95"/>
        <v/>
      </c>
      <c r="AE434" s="609" t="str">
        <f t="shared" si="95"/>
        <v/>
      </c>
      <c r="AF434" s="609" t="str">
        <f t="shared" si="95"/>
        <v/>
      </c>
      <c r="AG434" s="609" t="str">
        <f t="shared" si="95"/>
        <v/>
      </c>
      <c r="AH434" s="609" t="str">
        <f t="shared" si="95"/>
        <v/>
      </c>
      <c r="AI434" s="609" t="str">
        <f t="shared" si="95"/>
        <v/>
      </c>
      <c r="AJ434" s="609" t="str">
        <f t="shared" si="95"/>
        <v/>
      </c>
      <c r="AK434" s="609" t="str">
        <f t="shared" si="95"/>
        <v/>
      </c>
      <c r="AL434" s="609" t="str">
        <f t="shared" si="95"/>
        <v/>
      </c>
      <c r="AM434" s="609" t="str">
        <f t="shared" si="98"/>
        <v/>
      </c>
      <c r="AN434" s="609" t="str">
        <f t="shared" si="98"/>
        <v/>
      </c>
      <c r="AO434" s="609" t="str">
        <f t="shared" si="98"/>
        <v/>
      </c>
      <c r="AP434" s="609" t="str">
        <f t="shared" si="98"/>
        <v/>
      </c>
      <c r="AQ434" s="609" t="str">
        <f t="shared" si="98"/>
        <v/>
      </c>
      <c r="AR434" s="609" t="str">
        <f t="shared" si="98"/>
        <v/>
      </c>
      <c r="AS434" s="609" t="str">
        <f t="shared" si="98"/>
        <v/>
      </c>
      <c r="AT434" s="609" t="str">
        <f t="shared" si="98"/>
        <v/>
      </c>
      <c r="AU434" s="609" t="str">
        <f t="shared" si="98"/>
        <v/>
      </c>
      <c r="AV434" s="609" t="str">
        <f t="shared" si="98"/>
        <v/>
      </c>
      <c r="AW434" s="609" t="str">
        <f t="shared" si="98"/>
        <v/>
      </c>
      <c r="AX434" s="609" t="str">
        <f t="shared" si="98"/>
        <v/>
      </c>
      <c r="AY434" s="609" t="str">
        <f t="shared" si="98"/>
        <v/>
      </c>
      <c r="AZ434" s="609" t="str">
        <f t="shared" si="98"/>
        <v/>
      </c>
      <c r="BA434" s="609" t="str">
        <f t="shared" si="98"/>
        <v/>
      </c>
      <c r="BB434" s="609" t="str">
        <f t="shared" si="98"/>
        <v/>
      </c>
      <c r="BC434" s="609" t="str">
        <f t="shared" si="97"/>
        <v/>
      </c>
      <c r="BD434" s="609" t="str">
        <f t="shared" si="97"/>
        <v/>
      </c>
      <c r="BE434" s="609" t="str">
        <f t="shared" si="97"/>
        <v/>
      </c>
      <c r="BF434" s="609" t="str">
        <f t="shared" si="97"/>
        <v/>
      </c>
      <c r="BG434" s="609" t="str">
        <f t="shared" si="97"/>
        <v/>
      </c>
    </row>
    <row r="435" spans="2:59" x14ac:dyDescent="0.25">
      <c r="B435" s="654">
        <v>429</v>
      </c>
      <c r="C435" s="654"/>
      <c r="D435" s="654"/>
      <c r="E435" s="655"/>
      <c r="F435" s="654"/>
      <c r="H435" s="609" t="str">
        <f t="shared" si="96"/>
        <v/>
      </c>
      <c r="I435" s="609" t="str">
        <f t="shared" si="96"/>
        <v/>
      </c>
      <c r="J435" s="609" t="str">
        <f t="shared" si="96"/>
        <v/>
      </c>
      <c r="K435" s="609" t="str">
        <f t="shared" si="96"/>
        <v/>
      </c>
      <c r="L435" s="609" t="str">
        <f t="shared" si="96"/>
        <v/>
      </c>
      <c r="M435" s="609" t="str">
        <f t="shared" si="96"/>
        <v/>
      </c>
      <c r="N435" s="609" t="str">
        <f t="shared" si="96"/>
        <v/>
      </c>
      <c r="O435" s="609" t="str">
        <f t="shared" si="96"/>
        <v/>
      </c>
      <c r="P435" s="609" t="str">
        <f t="shared" si="96"/>
        <v/>
      </c>
      <c r="Q435" s="609" t="str">
        <f t="shared" si="96"/>
        <v/>
      </c>
      <c r="R435" s="609" t="str">
        <f t="shared" si="96"/>
        <v/>
      </c>
      <c r="S435" s="609" t="str">
        <f t="shared" si="96"/>
        <v/>
      </c>
      <c r="T435" s="609" t="str">
        <f t="shared" si="96"/>
        <v/>
      </c>
      <c r="U435" s="609" t="str">
        <f t="shared" si="96"/>
        <v/>
      </c>
      <c r="V435" s="609" t="str">
        <f t="shared" si="96"/>
        <v/>
      </c>
      <c r="W435" s="609" t="str">
        <f t="shared" si="96"/>
        <v/>
      </c>
      <c r="X435" s="609" t="str">
        <f t="shared" si="95"/>
        <v/>
      </c>
      <c r="Y435" s="609" t="str">
        <f t="shared" si="95"/>
        <v/>
      </c>
      <c r="Z435" s="609" t="str">
        <f t="shared" si="95"/>
        <v/>
      </c>
      <c r="AA435" s="609" t="str">
        <f t="shared" si="95"/>
        <v/>
      </c>
      <c r="AB435" s="609" t="str">
        <f t="shared" si="95"/>
        <v/>
      </c>
      <c r="AC435" s="609" t="str">
        <f t="shared" si="95"/>
        <v/>
      </c>
      <c r="AD435" s="609" t="str">
        <f t="shared" si="95"/>
        <v/>
      </c>
      <c r="AE435" s="609" t="str">
        <f t="shared" si="95"/>
        <v/>
      </c>
      <c r="AF435" s="609" t="str">
        <f t="shared" si="95"/>
        <v/>
      </c>
      <c r="AG435" s="609" t="str">
        <f t="shared" si="95"/>
        <v/>
      </c>
      <c r="AH435" s="609" t="str">
        <f t="shared" si="95"/>
        <v/>
      </c>
      <c r="AI435" s="609" t="str">
        <f t="shared" si="95"/>
        <v/>
      </c>
      <c r="AJ435" s="609" t="str">
        <f t="shared" si="95"/>
        <v/>
      </c>
      <c r="AK435" s="609" t="str">
        <f t="shared" si="95"/>
        <v/>
      </c>
      <c r="AL435" s="609" t="str">
        <f t="shared" si="95"/>
        <v/>
      </c>
      <c r="AM435" s="609" t="str">
        <f t="shared" si="98"/>
        <v/>
      </c>
      <c r="AN435" s="609" t="str">
        <f t="shared" si="98"/>
        <v/>
      </c>
      <c r="AO435" s="609" t="str">
        <f t="shared" si="98"/>
        <v/>
      </c>
      <c r="AP435" s="609" t="str">
        <f t="shared" si="98"/>
        <v/>
      </c>
      <c r="AQ435" s="609" t="str">
        <f t="shared" si="98"/>
        <v/>
      </c>
      <c r="AR435" s="609" t="str">
        <f t="shared" si="98"/>
        <v/>
      </c>
      <c r="AS435" s="609" t="str">
        <f t="shared" si="98"/>
        <v/>
      </c>
      <c r="AT435" s="609" t="str">
        <f t="shared" si="98"/>
        <v/>
      </c>
      <c r="AU435" s="609" t="str">
        <f t="shared" si="98"/>
        <v/>
      </c>
      <c r="AV435" s="609" t="str">
        <f t="shared" si="98"/>
        <v/>
      </c>
      <c r="AW435" s="609" t="str">
        <f t="shared" si="98"/>
        <v/>
      </c>
      <c r="AX435" s="609" t="str">
        <f t="shared" si="98"/>
        <v/>
      </c>
      <c r="AY435" s="609" t="str">
        <f t="shared" si="98"/>
        <v/>
      </c>
      <c r="AZ435" s="609" t="str">
        <f t="shared" si="98"/>
        <v/>
      </c>
      <c r="BA435" s="609" t="str">
        <f t="shared" si="98"/>
        <v/>
      </c>
      <c r="BB435" s="609" t="str">
        <f t="shared" si="98"/>
        <v/>
      </c>
      <c r="BC435" s="609" t="str">
        <f t="shared" si="97"/>
        <v/>
      </c>
      <c r="BD435" s="609" t="str">
        <f t="shared" si="97"/>
        <v/>
      </c>
      <c r="BE435" s="609" t="str">
        <f t="shared" si="97"/>
        <v/>
      </c>
      <c r="BF435" s="609" t="str">
        <f t="shared" si="97"/>
        <v/>
      </c>
      <c r="BG435" s="609" t="str">
        <f t="shared" si="97"/>
        <v/>
      </c>
    </row>
    <row r="436" spans="2:59" x14ac:dyDescent="0.25">
      <c r="B436" s="654">
        <v>430</v>
      </c>
      <c r="C436" s="654"/>
      <c r="D436" s="654"/>
      <c r="E436" s="655"/>
      <c r="F436" s="654"/>
      <c r="H436" s="609" t="str">
        <f t="shared" si="96"/>
        <v/>
      </c>
      <c r="I436" s="609" t="str">
        <f t="shared" si="96"/>
        <v/>
      </c>
      <c r="J436" s="609" t="str">
        <f t="shared" si="96"/>
        <v/>
      </c>
      <c r="K436" s="609" t="str">
        <f t="shared" si="96"/>
        <v/>
      </c>
      <c r="L436" s="609" t="str">
        <f t="shared" si="96"/>
        <v/>
      </c>
      <c r="M436" s="609" t="str">
        <f t="shared" si="96"/>
        <v/>
      </c>
      <c r="N436" s="609" t="str">
        <f t="shared" si="96"/>
        <v/>
      </c>
      <c r="O436" s="609" t="str">
        <f t="shared" si="96"/>
        <v/>
      </c>
      <c r="P436" s="609" t="str">
        <f t="shared" si="96"/>
        <v/>
      </c>
      <c r="Q436" s="609" t="str">
        <f t="shared" si="96"/>
        <v/>
      </c>
      <c r="R436" s="609" t="str">
        <f t="shared" si="96"/>
        <v/>
      </c>
      <c r="S436" s="609" t="str">
        <f t="shared" si="96"/>
        <v/>
      </c>
      <c r="T436" s="609" t="str">
        <f t="shared" si="96"/>
        <v/>
      </c>
      <c r="U436" s="609" t="str">
        <f t="shared" si="96"/>
        <v/>
      </c>
      <c r="V436" s="609" t="str">
        <f t="shared" si="96"/>
        <v/>
      </c>
      <c r="W436" s="609" t="str">
        <f t="shared" si="96"/>
        <v/>
      </c>
      <c r="X436" s="609" t="str">
        <f t="shared" si="95"/>
        <v/>
      </c>
      <c r="Y436" s="609" t="str">
        <f t="shared" si="95"/>
        <v/>
      </c>
      <c r="Z436" s="609" t="str">
        <f t="shared" si="95"/>
        <v/>
      </c>
      <c r="AA436" s="609" t="str">
        <f t="shared" si="95"/>
        <v/>
      </c>
      <c r="AB436" s="609" t="str">
        <f t="shared" si="95"/>
        <v/>
      </c>
      <c r="AC436" s="609" t="str">
        <f t="shared" si="95"/>
        <v/>
      </c>
      <c r="AD436" s="609" t="str">
        <f t="shared" si="95"/>
        <v/>
      </c>
      <c r="AE436" s="609" t="str">
        <f t="shared" si="95"/>
        <v/>
      </c>
      <c r="AF436" s="609" t="str">
        <f t="shared" si="95"/>
        <v/>
      </c>
      <c r="AG436" s="609" t="str">
        <f t="shared" si="95"/>
        <v/>
      </c>
      <c r="AH436" s="609" t="str">
        <f t="shared" si="95"/>
        <v/>
      </c>
      <c r="AI436" s="609" t="str">
        <f t="shared" si="95"/>
        <v/>
      </c>
      <c r="AJ436" s="609" t="str">
        <f t="shared" si="95"/>
        <v/>
      </c>
      <c r="AK436" s="609" t="str">
        <f t="shared" si="95"/>
        <v/>
      </c>
      <c r="AL436" s="609" t="str">
        <f t="shared" si="95"/>
        <v/>
      </c>
      <c r="AM436" s="609" t="str">
        <f t="shared" si="98"/>
        <v/>
      </c>
      <c r="AN436" s="609" t="str">
        <f t="shared" si="98"/>
        <v/>
      </c>
      <c r="AO436" s="609" t="str">
        <f t="shared" si="98"/>
        <v/>
      </c>
      <c r="AP436" s="609" t="str">
        <f t="shared" si="98"/>
        <v/>
      </c>
      <c r="AQ436" s="609" t="str">
        <f t="shared" si="98"/>
        <v/>
      </c>
      <c r="AR436" s="609" t="str">
        <f t="shared" si="98"/>
        <v/>
      </c>
      <c r="AS436" s="609" t="str">
        <f t="shared" si="98"/>
        <v/>
      </c>
      <c r="AT436" s="609" t="str">
        <f t="shared" si="98"/>
        <v/>
      </c>
      <c r="AU436" s="609" t="str">
        <f t="shared" si="98"/>
        <v/>
      </c>
      <c r="AV436" s="609" t="str">
        <f t="shared" si="98"/>
        <v/>
      </c>
      <c r="AW436" s="609" t="str">
        <f t="shared" si="98"/>
        <v/>
      </c>
      <c r="AX436" s="609" t="str">
        <f t="shared" si="98"/>
        <v/>
      </c>
      <c r="AY436" s="609" t="str">
        <f t="shared" si="98"/>
        <v/>
      </c>
      <c r="AZ436" s="609" t="str">
        <f t="shared" si="98"/>
        <v/>
      </c>
      <c r="BA436" s="609" t="str">
        <f t="shared" si="98"/>
        <v/>
      </c>
      <c r="BB436" s="609" t="str">
        <f t="shared" si="98"/>
        <v/>
      </c>
      <c r="BC436" s="609" t="str">
        <f t="shared" si="97"/>
        <v/>
      </c>
      <c r="BD436" s="609" t="str">
        <f t="shared" si="97"/>
        <v/>
      </c>
      <c r="BE436" s="609" t="str">
        <f t="shared" si="97"/>
        <v/>
      </c>
      <c r="BF436" s="609" t="str">
        <f t="shared" si="97"/>
        <v/>
      </c>
      <c r="BG436" s="609" t="str">
        <f t="shared" si="97"/>
        <v/>
      </c>
    </row>
    <row r="437" spans="2:59" x14ac:dyDescent="0.25">
      <c r="B437" s="654">
        <v>431</v>
      </c>
      <c r="C437" s="654"/>
      <c r="D437" s="654"/>
      <c r="E437" s="655"/>
      <c r="F437" s="654"/>
      <c r="H437" s="609" t="str">
        <f t="shared" si="96"/>
        <v/>
      </c>
      <c r="I437" s="609" t="str">
        <f t="shared" si="96"/>
        <v/>
      </c>
      <c r="J437" s="609" t="str">
        <f t="shared" si="96"/>
        <v/>
      </c>
      <c r="K437" s="609" t="str">
        <f t="shared" si="96"/>
        <v/>
      </c>
      <c r="L437" s="609" t="str">
        <f t="shared" si="96"/>
        <v/>
      </c>
      <c r="M437" s="609" t="str">
        <f t="shared" si="96"/>
        <v/>
      </c>
      <c r="N437" s="609" t="str">
        <f t="shared" si="96"/>
        <v/>
      </c>
      <c r="O437" s="609" t="str">
        <f t="shared" si="96"/>
        <v/>
      </c>
      <c r="P437" s="609" t="str">
        <f t="shared" si="96"/>
        <v/>
      </c>
      <c r="Q437" s="609" t="str">
        <f t="shared" si="96"/>
        <v/>
      </c>
      <c r="R437" s="609" t="str">
        <f t="shared" si="96"/>
        <v/>
      </c>
      <c r="S437" s="609" t="str">
        <f t="shared" si="96"/>
        <v/>
      </c>
      <c r="T437" s="609" t="str">
        <f t="shared" si="96"/>
        <v/>
      </c>
      <c r="U437" s="609" t="str">
        <f t="shared" si="96"/>
        <v/>
      </c>
      <c r="V437" s="609" t="str">
        <f t="shared" si="96"/>
        <v/>
      </c>
      <c r="W437" s="609" t="str">
        <f t="shared" ref="W437:AL452" si="99">IF($D437=W$6,$B437&amp;", ","")</f>
        <v/>
      </c>
      <c r="X437" s="609" t="str">
        <f t="shared" si="99"/>
        <v/>
      </c>
      <c r="Y437" s="609" t="str">
        <f t="shared" si="99"/>
        <v/>
      </c>
      <c r="Z437" s="609" t="str">
        <f t="shared" si="99"/>
        <v/>
      </c>
      <c r="AA437" s="609" t="str">
        <f t="shared" si="99"/>
        <v/>
      </c>
      <c r="AB437" s="609" t="str">
        <f t="shared" si="99"/>
        <v/>
      </c>
      <c r="AC437" s="609" t="str">
        <f t="shared" si="99"/>
        <v/>
      </c>
      <c r="AD437" s="609" t="str">
        <f t="shared" si="99"/>
        <v/>
      </c>
      <c r="AE437" s="609" t="str">
        <f t="shared" si="99"/>
        <v/>
      </c>
      <c r="AF437" s="609" t="str">
        <f t="shared" si="99"/>
        <v/>
      </c>
      <c r="AG437" s="609" t="str">
        <f t="shared" si="99"/>
        <v/>
      </c>
      <c r="AH437" s="609" t="str">
        <f t="shared" si="99"/>
        <v/>
      </c>
      <c r="AI437" s="609" t="str">
        <f t="shared" si="99"/>
        <v/>
      </c>
      <c r="AJ437" s="609" t="str">
        <f t="shared" si="99"/>
        <v/>
      </c>
      <c r="AK437" s="609" t="str">
        <f t="shared" si="99"/>
        <v/>
      </c>
      <c r="AL437" s="609" t="str">
        <f t="shared" si="99"/>
        <v/>
      </c>
      <c r="AM437" s="609" t="str">
        <f t="shared" si="98"/>
        <v/>
      </c>
      <c r="AN437" s="609" t="str">
        <f t="shared" si="98"/>
        <v/>
      </c>
      <c r="AO437" s="609" t="str">
        <f t="shared" si="98"/>
        <v/>
      </c>
      <c r="AP437" s="609" t="str">
        <f t="shared" si="98"/>
        <v/>
      </c>
      <c r="AQ437" s="609" t="str">
        <f t="shared" si="98"/>
        <v/>
      </c>
      <c r="AR437" s="609" t="str">
        <f t="shared" si="98"/>
        <v/>
      </c>
      <c r="AS437" s="609" t="str">
        <f t="shared" si="98"/>
        <v/>
      </c>
      <c r="AT437" s="609" t="str">
        <f t="shared" si="98"/>
        <v/>
      </c>
      <c r="AU437" s="609" t="str">
        <f t="shared" si="98"/>
        <v/>
      </c>
      <c r="AV437" s="609" t="str">
        <f t="shared" si="98"/>
        <v/>
      </c>
      <c r="AW437" s="609" t="str">
        <f t="shared" si="98"/>
        <v/>
      </c>
      <c r="AX437" s="609" t="str">
        <f t="shared" si="98"/>
        <v/>
      </c>
      <c r="AY437" s="609" t="str">
        <f t="shared" si="98"/>
        <v/>
      </c>
      <c r="AZ437" s="609" t="str">
        <f t="shared" si="98"/>
        <v/>
      </c>
      <c r="BA437" s="609" t="str">
        <f t="shared" si="98"/>
        <v/>
      </c>
      <c r="BB437" s="609" t="str">
        <f t="shared" si="98"/>
        <v/>
      </c>
      <c r="BC437" s="609" t="str">
        <f t="shared" si="97"/>
        <v/>
      </c>
      <c r="BD437" s="609" t="str">
        <f t="shared" si="97"/>
        <v/>
      </c>
      <c r="BE437" s="609" t="str">
        <f t="shared" si="97"/>
        <v/>
      </c>
      <c r="BF437" s="609" t="str">
        <f t="shared" si="97"/>
        <v/>
      </c>
      <c r="BG437" s="609" t="str">
        <f t="shared" si="97"/>
        <v/>
      </c>
    </row>
    <row r="438" spans="2:59" x14ac:dyDescent="0.25">
      <c r="B438" s="654">
        <v>432</v>
      </c>
      <c r="C438" s="654"/>
      <c r="D438" s="654"/>
      <c r="E438" s="655"/>
      <c r="F438" s="654"/>
      <c r="H438" s="609" t="str">
        <f t="shared" ref="H438:W453" si="100">IF($D438=H$6,$B438&amp;", ","")</f>
        <v/>
      </c>
      <c r="I438" s="609" t="str">
        <f t="shared" si="100"/>
        <v/>
      </c>
      <c r="J438" s="609" t="str">
        <f t="shared" si="100"/>
        <v/>
      </c>
      <c r="K438" s="609" t="str">
        <f t="shared" si="100"/>
        <v/>
      </c>
      <c r="L438" s="609" t="str">
        <f t="shared" si="100"/>
        <v/>
      </c>
      <c r="M438" s="609" t="str">
        <f t="shared" si="100"/>
        <v/>
      </c>
      <c r="N438" s="609" t="str">
        <f t="shared" si="100"/>
        <v/>
      </c>
      <c r="O438" s="609" t="str">
        <f t="shared" si="100"/>
        <v/>
      </c>
      <c r="P438" s="609" t="str">
        <f t="shared" si="100"/>
        <v/>
      </c>
      <c r="Q438" s="609" t="str">
        <f t="shared" si="100"/>
        <v/>
      </c>
      <c r="R438" s="609" t="str">
        <f t="shared" si="100"/>
        <v/>
      </c>
      <c r="S438" s="609" t="str">
        <f t="shared" si="100"/>
        <v/>
      </c>
      <c r="T438" s="609" t="str">
        <f t="shared" si="100"/>
        <v/>
      </c>
      <c r="U438" s="609" t="str">
        <f t="shared" si="100"/>
        <v/>
      </c>
      <c r="V438" s="609" t="str">
        <f t="shared" si="100"/>
        <v/>
      </c>
      <c r="W438" s="609" t="str">
        <f t="shared" si="100"/>
        <v/>
      </c>
      <c r="X438" s="609" t="str">
        <f t="shared" si="99"/>
        <v/>
      </c>
      <c r="Y438" s="609" t="str">
        <f t="shared" si="99"/>
        <v/>
      </c>
      <c r="Z438" s="609" t="str">
        <f t="shared" si="99"/>
        <v/>
      </c>
      <c r="AA438" s="609" t="str">
        <f t="shared" si="99"/>
        <v/>
      </c>
      <c r="AB438" s="609" t="str">
        <f t="shared" si="99"/>
        <v/>
      </c>
      <c r="AC438" s="609" t="str">
        <f t="shared" si="99"/>
        <v/>
      </c>
      <c r="AD438" s="609" t="str">
        <f t="shared" si="99"/>
        <v/>
      </c>
      <c r="AE438" s="609" t="str">
        <f t="shared" si="99"/>
        <v/>
      </c>
      <c r="AF438" s="609" t="str">
        <f t="shared" si="99"/>
        <v/>
      </c>
      <c r="AG438" s="609" t="str">
        <f t="shared" si="99"/>
        <v/>
      </c>
      <c r="AH438" s="609" t="str">
        <f t="shared" si="99"/>
        <v/>
      </c>
      <c r="AI438" s="609" t="str">
        <f t="shared" si="99"/>
        <v/>
      </c>
      <c r="AJ438" s="609" t="str">
        <f t="shared" si="99"/>
        <v/>
      </c>
      <c r="AK438" s="609" t="str">
        <f t="shared" si="99"/>
        <v/>
      </c>
      <c r="AL438" s="609" t="str">
        <f t="shared" si="99"/>
        <v/>
      </c>
      <c r="AM438" s="609" t="str">
        <f t="shared" si="98"/>
        <v/>
      </c>
      <c r="AN438" s="609" t="str">
        <f t="shared" si="98"/>
        <v/>
      </c>
      <c r="AO438" s="609" t="str">
        <f t="shared" si="98"/>
        <v/>
      </c>
      <c r="AP438" s="609" t="str">
        <f t="shared" si="98"/>
        <v/>
      </c>
      <c r="AQ438" s="609" t="str">
        <f t="shared" si="98"/>
        <v/>
      </c>
      <c r="AR438" s="609" t="str">
        <f t="shared" si="98"/>
        <v/>
      </c>
      <c r="AS438" s="609" t="str">
        <f t="shared" si="98"/>
        <v/>
      </c>
      <c r="AT438" s="609" t="str">
        <f t="shared" si="98"/>
        <v/>
      </c>
      <c r="AU438" s="609" t="str">
        <f t="shared" si="98"/>
        <v/>
      </c>
      <c r="AV438" s="609" t="str">
        <f t="shared" si="98"/>
        <v/>
      </c>
      <c r="AW438" s="609" t="str">
        <f t="shared" si="98"/>
        <v/>
      </c>
      <c r="AX438" s="609" t="str">
        <f t="shared" si="98"/>
        <v/>
      </c>
      <c r="AY438" s="609" t="str">
        <f t="shared" si="98"/>
        <v/>
      </c>
      <c r="AZ438" s="609" t="str">
        <f t="shared" si="98"/>
        <v/>
      </c>
      <c r="BA438" s="609" t="str">
        <f t="shared" si="98"/>
        <v/>
      </c>
      <c r="BB438" s="609" t="str">
        <f t="shared" si="98"/>
        <v/>
      </c>
      <c r="BC438" s="609" t="str">
        <f t="shared" si="97"/>
        <v/>
      </c>
      <c r="BD438" s="609" t="str">
        <f t="shared" si="97"/>
        <v/>
      </c>
      <c r="BE438" s="609" t="str">
        <f t="shared" si="97"/>
        <v/>
      </c>
      <c r="BF438" s="609" t="str">
        <f t="shared" si="97"/>
        <v/>
      </c>
      <c r="BG438" s="609" t="str">
        <f t="shared" si="97"/>
        <v/>
      </c>
    </row>
    <row r="439" spans="2:59" x14ac:dyDescent="0.25">
      <c r="B439" s="654">
        <v>433</v>
      </c>
      <c r="C439" s="654"/>
      <c r="D439" s="654"/>
      <c r="E439" s="655"/>
      <c r="F439" s="654"/>
      <c r="H439" s="609" t="str">
        <f t="shared" si="100"/>
        <v/>
      </c>
      <c r="I439" s="609" t="str">
        <f t="shared" si="100"/>
        <v/>
      </c>
      <c r="J439" s="609" t="str">
        <f t="shared" si="100"/>
        <v/>
      </c>
      <c r="K439" s="609" t="str">
        <f t="shared" si="100"/>
        <v/>
      </c>
      <c r="L439" s="609" t="str">
        <f t="shared" si="100"/>
        <v/>
      </c>
      <c r="M439" s="609" t="str">
        <f t="shared" si="100"/>
        <v/>
      </c>
      <c r="N439" s="609" t="str">
        <f t="shared" si="100"/>
        <v/>
      </c>
      <c r="O439" s="609" t="str">
        <f t="shared" si="100"/>
        <v/>
      </c>
      <c r="P439" s="609" t="str">
        <f t="shared" si="100"/>
        <v/>
      </c>
      <c r="Q439" s="609" t="str">
        <f t="shared" si="100"/>
        <v/>
      </c>
      <c r="R439" s="609" t="str">
        <f t="shared" si="100"/>
        <v/>
      </c>
      <c r="S439" s="609" t="str">
        <f t="shared" si="100"/>
        <v/>
      </c>
      <c r="T439" s="609" t="str">
        <f t="shared" si="100"/>
        <v/>
      </c>
      <c r="U439" s="609" t="str">
        <f t="shared" si="100"/>
        <v/>
      </c>
      <c r="V439" s="609" t="str">
        <f t="shared" si="100"/>
        <v/>
      </c>
      <c r="W439" s="609" t="str">
        <f t="shared" si="100"/>
        <v/>
      </c>
      <c r="X439" s="609" t="str">
        <f t="shared" si="99"/>
        <v/>
      </c>
      <c r="Y439" s="609" t="str">
        <f t="shared" si="99"/>
        <v/>
      </c>
      <c r="Z439" s="609" t="str">
        <f t="shared" si="99"/>
        <v/>
      </c>
      <c r="AA439" s="609" t="str">
        <f t="shared" si="99"/>
        <v/>
      </c>
      <c r="AB439" s="609" t="str">
        <f t="shared" si="99"/>
        <v/>
      </c>
      <c r="AC439" s="609" t="str">
        <f t="shared" si="99"/>
        <v/>
      </c>
      <c r="AD439" s="609" t="str">
        <f t="shared" si="99"/>
        <v/>
      </c>
      <c r="AE439" s="609" t="str">
        <f t="shared" si="99"/>
        <v/>
      </c>
      <c r="AF439" s="609" t="str">
        <f t="shared" si="99"/>
        <v/>
      </c>
      <c r="AG439" s="609" t="str">
        <f t="shared" si="99"/>
        <v/>
      </c>
      <c r="AH439" s="609" t="str">
        <f t="shared" si="99"/>
        <v/>
      </c>
      <c r="AI439" s="609" t="str">
        <f t="shared" si="99"/>
        <v/>
      </c>
      <c r="AJ439" s="609" t="str">
        <f t="shared" si="99"/>
        <v/>
      </c>
      <c r="AK439" s="609" t="str">
        <f t="shared" si="99"/>
        <v/>
      </c>
      <c r="AL439" s="609" t="str">
        <f t="shared" si="99"/>
        <v/>
      </c>
      <c r="AM439" s="609" t="str">
        <f t="shared" si="98"/>
        <v/>
      </c>
      <c r="AN439" s="609" t="str">
        <f t="shared" si="98"/>
        <v/>
      </c>
      <c r="AO439" s="609" t="str">
        <f t="shared" si="98"/>
        <v/>
      </c>
      <c r="AP439" s="609" t="str">
        <f t="shared" si="98"/>
        <v/>
      </c>
      <c r="AQ439" s="609" t="str">
        <f t="shared" si="98"/>
        <v/>
      </c>
      <c r="AR439" s="609" t="str">
        <f t="shared" si="98"/>
        <v/>
      </c>
      <c r="AS439" s="609" t="str">
        <f t="shared" si="98"/>
        <v/>
      </c>
      <c r="AT439" s="609" t="str">
        <f t="shared" si="98"/>
        <v/>
      </c>
      <c r="AU439" s="609" t="str">
        <f t="shared" si="98"/>
        <v/>
      </c>
      <c r="AV439" s="609" t="str">
        <f t="shared" si="98"/>
        <v/>
      </c>
      <c r="AW439" s="609" t="str">
        <f t="shared" si="98"/>
        <v/>
      </c>
      <c r="AX439" s="609" t="str">
        <f t="shared" si="98"/>
        <v/>
      </c>
      <c r="AY439" s="609" t="str">
        <f t="shared" si="98"/>
        <v/>
      </c>
      <c r="AZ439" s="609" t="str">
        <f t="shared" si="98"/>
        <v/>
      </c>
      <c r="BA439" s="609" t="str">
        <f t="shared" si="98"/>
        <v/>
      </c>
      <c r="BB439" s="609" t="str">
        <f t="shared" si="98"/>
        <v/>
      </c>
      <c r="BC439" s="609" t="str">
        <f t="shared" si="97"/>
        <v/>
      </c>
      <c r="BD439" s="609" t="str">
        <f t="shared" si="97"/>
        <v/>
      </c>
      <c r="BE439" s="609" t="str">
        <f t="shared" si="97"/>
        <v/>
      </c>
      <c r="BF439" s="609" t="str">
        <f t="shared" si="97"/>
        <v/>
      </c>
      <c r="BG439" s="609" t="str">
        <f t="shared" si="97"/>
        <v/>
      </c>
    </row>
    <row r="440" spans="2:59" x14ac:dyDescent="0.25">
      <c r="B440" s="654">
        <v>434</v>
      </c>
      <c r="C440" s="654"/>
      <c r="D440" s="654"/>
      <c r="E440" s="655"/>
      <c r="F440" s="654"/>
      <c r="H440" s="609" t="str">
        <f t="shared" si="100"/>
        <v/>
      </c>
      <c r="I440" s="609" t="str">
        <f t="shared" si="100"/>
        <v/>
      </c>
      <c r="J440" s="609" t="str">
        <f t="shared" si="100"/>
        <v/>
      </c>
      <c r="K440" s="609" t="str">
        <f t="shared" si="100"/>
        <v/>
      </c>
      <c r="L440" s="609" t="str">
        <f t="shared" si="100"/>
        <v/>
      </c>
      <c r="M440" s="609" t="str">
        <f t="shared" si="100"/>
        <v/>
      </c>
      <c r="N440" s="609" t="str">
        <f t="shared" si="100"/>
        <v/>
      </c>
      <c r="O440" s="609" t="str">
        <f t="shared" si="100"/>
        <v/>
      </c>
      <c r="P440" s="609" t="str">
        <f t="shared" si="100"/>
        <v/>
      </c>
      <c r="Q440" s="609" t="str">
        <f t="shared" si="100"/>
        <v/>
      </c>
      <c r="R440" s="609" t="str">
        <f t="shared" si="100"/>
        <v/>
      </c>
      <c r="S440" s="609" t="str">
        <f t="shared" si="100"/>
        <v/>
      </c>
      <c r="T440" s="609" t="str">
        <f t="shared" si="100"/>
        <v/>
      </c>
      <c r="U440" s="609" t="str">
        <f t="shared" si="100"/>
        <v/>
      </c>
      <c r="V440" s="609" t="str">
        <f t="shared" si="100"/>
        <v/>
      </c>
      <c r="W440" s="609" t="str">
        <f t="shared" si="100"/>
        <v/>
      </c>
      <c r="X440" s="609" t="str">
        <f t="shared" si="99"/>
        <v/>
      </c>
      <c r="Y440" s="609" t="str">
        <f t="shared" si="99"/>
        <v/>
      </c>
      <c r="Z440" s="609" t="str">
        <f t="shared" si="99"/>
        <v/>
      </c>
      <c r="AA440" s="609" t="str">
        <f t="shared" si="99"/>
        <v/>
      </c>
      <c r="AB440" s="609" t="str">
        <f t="shared" si="99"/>
        <v/>
      </c>
      <c r="AC440" s="609" t="str">
        <f t="shared" si="99"/>
        <v/>
      </c>
      <c r="AD440" s="609" t="str">
        <f t="shared" si="99"/>
        <v/>
      </c>
      <c r="AE440" s="609" t="str">
        <f t="shared" si="99"/>
        <v/>
      </c>
      <c r="AF440" s="609" t="str">
        <f t="shared" si="99"/>
        <v/>
      </c>
      <c r="AG440" s="609" t="str">
        <f t="shared" si="99"/>
        <v/>
      </c>
      <c r="AH440" s="609" t="str">
        <f t="shared" si="99"/>
        <v/>
      </c>
      <c r="AI440" s="609" t="str">
        <f t="shared" si="99"/>
        <v/>
      </c>
      <c r="AJ440" s="609" t="str">
        <f t="shared" si="99"/>
        <v/>
      </c>
      <c r="AK440" s="609" t="str">
        <f t="shared" si="99"/>
        <v/>
      </c>
      <c r="AL440" s="609" t="str">
        <f t="shared" si="99"/>
        <v/>
      </c>
      <c r="AM440" s="609" t="str">
        <f t="shared" si="98"/>
        <v/>
      </c>
      <c r="AN440" s="609" t="str">
        <f t="shared" si="98"/>
        <v/>
      </c>
      <c r="AO440" s="609" t="str">
        <f t="shared" si="98"/>
        <v/>
      </c>
      <c r="AP440" s="609" t="str">
        <f t="shared" si="98"/>
        <v/>
      </c>
      <c r="AQ440" s="609" t="str">
        <f t="shared" si="98"/>
        <v/>
      </c>
      <c r="AR440" s="609" t="str">
        <f t="shared" si="98"/>
        <v/>
      </c>
      <c r="AS440" s="609" t="str">
        <f t="shared" si="98"/>
        <v/>
      </c>
      <c r="AT440" s="609" t="str">
        <f t="shared" si="98"/>
        <v/>
      </c>
      <c r="AU440" s="609" t="str">
        <f t="shared" si="98"/>
        <v/>
      </c>
      <c r="AV440" s="609" t="str">
        <f t="shared" si="98"/>
        <v/>
      </c>
      <c r="AW440" s="609" t="str">
        <f t="shared" si="98"/>
        <v/>
      </c>
      <c r="AX440" s="609" t="str">
        <f t="shared" si="98"/>
        <v/>
      </c>
      <c r="AY440" s="609" t="str">
        <f t="shared" si="98"/>
        <v/>
      </c>
      <c r="AZ440" s="609" t="str">
        <f t="shared" si="98"/>
        <v/>
      </c>
      <c r="BA440" s="609" t="str">
        <f t="shared" si="98"/>
        <v/>
      </c>
      <c r="BB440" s="609" t="str">
        <f t="shared" si="98"/>
        <v/>
      </c>
      <c r="BC440" s="609" t="str">
        <f t="shared" si="97"/>
        <v/>
      </c>
      <c r="BD440" s="609" t="str">
        <f t="shared" si="97"/>
        <v/>
      </c>
      <c r="BE440" s="609" t="str">
        <f t="shared" si="97"/>
        <v/>
      </c>
      <c r="BF440" s="609" t="str">
        <f t="shared" si="97"/>
        <v/>
      </c>
      <c r="BG440" s="609" t="str">
        <f t="shared" si="97"/>
        <v/>
      </c>
    </row>
    <row r="441" spans="2:59" x14ac:dyDescent="0.25">
      <c r="B441" s="654">
        <v>435</v>
      </c>
      <c r="C441" s="654"/>
      <c r="D441" s="654"/>
      <c r="E441" s="655"/>
      <c r="F441" s="654"/>
      <c r="H441" s="609" t="str">
        <f t="shared" si="100"/>
        <v/>
      </c>
      <c r="I441" s="609" t="str">
        <f t="shared" si="100"/>
        <v/>
      </c>
      <c r="J441" s="609" t="str">
        <f t="shared" si="100"/>
        <v/>
      </c>
      <c r="K441" s="609" t="str">
        <f t="shared" si="100"/>
        <v/>
      </c>
      <c r="L441" s="609" t="str">
        <f t="shared" si="100"/>
        <v/>
      </c>
      <c r="M441" s="609" t="str">
        <f t="shared" si="100"/>
        <v/>
      </c>
      <c r="N441" s="609" t="str">
        <f t="shared" si="100"/>
        <v/>
      </c>
      <c r="O441" s="609" t="str">
        <f t="shared" si="100"/>
        <v/>
      </c>
      <c r="P441" s="609" t="str">
        <f t="shared" si="100"/>
        <v/>
      </c>
      <c r="Q441" s="609" t="str">
        <f t="shared" si="100"/>
        <v/>
      </c>
      <c r="R441" s="609" t="str">
        <f t="shared" si="100"/>
        <v/>
      </c>
      <c r="S441" s="609" t="str">
        <f t="shared" si="100"/>
        <v/>
      </c>
      <c r="T441" s="609" t="str">
        <f t="shared" si="100"/>
        <v/>
      </c>
      <c r="U441" s="609" t="str">
        <f t="shared" si="100"/>
        <v/>
      </c>
      <c r="V441" s="609" t="str">
        <f t="shared" si="100"/>
        <v/>
      </c>
      <c r="W441" s="609" t="str">
        <f t="shared" si="100"/>
        <v/>
      </c>
      <c r="X441" s="609" t="str">
        <f t="shared" si="99"/>
        <v/>
      </c>
      <c r="Y441" s="609" t="str">
        <f t="shared" si="99"/>
        <v/>
      </c>
      <c r="Z441" s="609" t="str">
        <f t="shared" si="99"/>
        <v/>
      </c>
      <c r="AA441" s="609" t="str">
        <f t="shared" si="99"/>
        <v/>
      </c>
      <c r="AB441" s="609" t="str">
        <f t="shared" si="99"/>
        <v/>
      </c>
      <c r="AC441" s="609" t="str">
        <f t="shared" si="99"/>
        <v/>
      </c>
      <c r="AD441" s="609" t="str">
        <f t="shared" si="99"/>
        <v/>
      </c>
      <c r="AE441" s="609" t="str">
        <f t="shared" si="99"/>
        <v/>
      </c>
      <c r="AF441" s="609" t="str">
        <f t="shared" si="99"/>
        <v/>
      </c>
      <c r="AG441" s="609" t="str">
        <f t="shared" si="99"/>
        <v/>
      </c>
      <c r="AH441" s="609" t="str">
        <f t="shared" si="99"/>
        <v/>
      </c>
      <c r="AI441" s="609" t="str">
        <f t="shared" si="99"/>
        <v/>
      </c>
      <c r="AJ441" s="609" t="str">
        <f t="shared" si="99"/>
        <v/>
      </c>
      <c r="AK441" s="609" t="str">
        <f t="shared" si="99"/>
        <v/>
      </c>
      <c r="AL441" s="609" t="str">
        <f t="shared" si="99"/>
        <v/>
      </c>
      <c r="AM441" s="609" t="str">
        <f t="shared" si="98"/>
        <v/>
      </c>
      <c r="AN441" s="609" t="str">
        <f t="shared" si="98"/>
        <v/>
      </c>
      <c r="AO441" s="609" t="str">
        <f t="shared" si="98"/>
        <v/>
      </c>
      <c r="AP441" s="609" t="str">
        <f t="shared" si="98"/>
        <v/>
      </c>
      <c r="AQ441" s="609" t="str">
        <f t="shared" si="98"/>
        <v/>
      </c>
      <c r="AR441" s="609" t="str">
        <f t="shared" si="98"/>
        <v/>
      </c>
      <c r="AS441" s="609" t="str">
        <f t="shared" si="98"/>
        <v/>
      </c>
      <c r="AT441" s="609" t="str">
        <f t="shared" si="98"/>
        <v/>
      </c>
      <c r="AU441" s="609" t="str">
        <f t="shared" si="98"/>
        <v/>
      </c>
      <c r="AV441" s="609" t="str">
        <f t="shared" si="98"/>
        <v/>
      </c>
      <c r="AW441" s="609" t="str">
        <f t="shared" si="98"/>
        <v/>
      </c>
      <c r="AX441" s="609" t="str">
        <f t="shared" si="98"/>
        <v/>
      </c>
      <c r="AY441" s="609" t="str">
        <f t="shared" si="98"/>
        <v/>
      </c>
      <c r="AZ441" s="609" t="str">
        <f t="shared" si="98"/>
        <v/>
      </c>
      <c r="BA441" s="609" t="str">
        <f t="shared" si="98"/>
        <v/>
      </c>
      <c r="BB441" s="609" t="str">
        <f t="shared" si="98"/>
        <v/>
      </c>
      <c r="BC441" s="609" t="str">
        <f t="shared" si="97"/>
        <v/>
      </c>
      <c r="BD441" s="609" t="str">
        <f t="shared" si="97"/>
        <v/>
      </c>
      <c r="BE441" s="609" t="str">
        <f t="shared" si="97"/>
        <v/>
      </c>
      <c r="BF441" s="609" t="str">
        <f t="shared" si="97"/>
        <v/>
      </c>
      <c r="BG441" s="609" t="str">
        <f t="shared" si="97"/>
        <v/>
      </c>
    </row>
    <row r="442" spans="2:59" x14ac:dyDescent="0.25">
      <c r="B442" s="654">
        <v>436</v>
      </c>
      <c r="C442" s="654"/>
      <c r="D442" s="654"/>
      <c r="E442" s="655"/>
      <c r="F442" s="654"/>
      <c r="H442" s="609" t="str">
        <f t="shared" si="100"/>
        <v/>
      </c>
      <c r="I442" s="609" t="str">
        <f t="shared" si="100"/>
        <v/>
      </c>
      <c r="J442" s="609" t="str">
        <f t="shared" si="100"/>
        <v/>
      </c>
      <c r="K442" s="609" t="str">
        <f t="shared" si="100"/>
        <v/>
      </c>
      <c r="L442" s="609" t="str">
        <f t="shared" si="100"/>
        <v/>
      </c>
      <c r="M442" s="609" t="str">
        <f t="shared" si="100"/>
        <v/>
      </c>
      <c r="N442" s="609" t="str">
        <f t="shared" si="100"/>
        <v/>
      </c>
      <c r="O442" s="609" t="str">
        <f t="shared" si="100"/>
        <v/>
      </c>
      <c r="P442" s="609" t="str">
        <f t="shared" si="100"/>
        <v/>
      </c>
      <c r="Q442" s="609" t="str">
        <f t="shared" si="100"/>
        <v/>
      </c>
      <c r="R442" s="609" t="str">
        <f t="shared" si="100"/>
        <v/>
      </c>
      <c r="S442" s="609" t="str">
        <f t="shared" si="100"/>
        <v/>
      </c>
      <c r="T442" s="609" t="str">
        <f t="shared" si="100"/>
        <v/>
      </c>
      <c r="U442" s="609" t="str">
        <f t="shared" si="100"/>
        <v/>
      </c>
      <c r="V442" s="609" t="str">
        <f t="shared" si="100"/>
        <v/>
      </c>
      <c r="W442" s="609" t="str">
        <f t="shared" si="100"/>
        <v/>
      </c>
      <c r="X442" s="609" t="str">
        <f t="shared" si="99"/>
        <v/>
      </c>
      <c r="Y442" s="609" t="str">
        <f t="shared" si="99"/>
        <v/>
      </c>
      <c r="Z442" s="609" t="str">
        <f t="shared" si="99"/>
        <v/>
      </c>
      <c r="AA442" s="609" t="str">
        <f t="shared" si="99"/>
        <v/>
      </c>
      <c r="AB442" s="609" t="str">
        <f t="shared" si="99"/>
        <v/>
      </c>
      <c r="AC442" s="609" t="str">
        <f t="shared" si="99"/>
        <v/>
      </c>
      <c r="AD442" s="609" t="str">
        <f t="shared" si="99"/>
        <v/>
      </c>
      <c r="AE442" s="609" t="str">
        <f t="shared" si="99"/>
        <v/>
      </c>
      <c r="AF442" s="609" t="str">
        <f t="shared" si="99"/>
        <v/>
      </c>
      <c r="AG442" s="609" t="str">
        <f t="shared" si="99"/>
        <v/>
      </c>
      <c r="AH442" s="609" t="str">
        <f t="shared" si="99"/>
        <v/>
      </c>
      <c r="AI442" s="609" t="str">
        <f t="shared" si="99"/>
        <v/>
      </c>
      <c r="AJ442" s="609" t="str">
        <f t="shared" si="99"/>
        <v/>
      </c>
      <c r="AK442" s="609" t="str">
        <f t="shared" si="99"/>
        <v/>
      </c>
      <c r="AL442" s="609" t="str">
        <f t="shared" si="99"/>
        <v/>
      </c>
      <c r="AM442" s="609" t="str">
        <f t="shared" si="98"/>
        <v/>
      </c>
      <c r="AN442" s="609" t="str">
        <f t="shared" si="98"/>
        <v/>
      </c>
      <c r="AO442" s="609" t="str">
        <f t="shared" si="98"/>
        <v/>
      </c>
      <c r="AP442" s="609" t="str">
        <f t="shared" si="98"/>
        <v/>
      </c>
      <c r="AQ442" s="609" t="str">
        <f t="shared" si="98"/>
        <v/>
      </c>
      <c r="AR442" s="609" t="str">
        <f t="shared" si="98"/>
        <v/>
      </c>
      <c r="AS442" s="609" t="str">
        <f t="shared" si="98"/>
        <v/>
      </c>
      <c r="AT442" s="609" t="str">
        <f t="shared" si="98"/>
        <v/>
      </c>
      <c r="AU442" s="609" t="str">
        <f t="shared" si="98"/>
        <v/>
      </c>
      <c r="AV442" s="609" t="str">
        <f t="shared" si="98"/>
        <v/>
      </c>
      <c r="AW442" s="609" t="str">
        <f t="shared" si="98"/>
        <v/>
      </c>
      <c r="AX442" s="609" t="str">
        <f t="shared" si="98"/>
        <v/>
      </c>
      <c r="AY442" s="609" t="str">
        <f t="shared" si="98"/>
        <v/>
      </c>
      <c r="AZ442" s="609" t="str">
        <f t="shared" si="98"/>
        <v/>
      </c>
      <c r="BA442" s="609" t="str">
        <f t="shared" si="98"/>
        <v/>
      </c>
      <c r="BB442" s="609" t="str">
        <f t="shared" ref="BB442:BG457" si="101">IF($D442=BB$6,$B442&amp;", ","")</f>
        <v/>
      </c>
      <c r="BC442" s="609" t="str">
        <f t="shared" si="101"/>
        <v/>
      </c>
      <c r="BD442" s="609" t="str">
        <f t="shared" si="101"/>
        <v/>
      </c>
      <c r="BE442" s="609" t="str">
        <f t="shared" si="101"/>
        <v/>
      </c>
      <c r="BF442" s="609" t="str">
        <f t="shared" si="101"/>
        <v/>
      </c>
      <c r="BG442" s="609" t="str">
        <f t="shared" si="101"/>
        <v/>
      </c>
    </row>
    <row r="443" spans="2:59" x14ac:dyDescent="0.25">
      <c r="B443" s="654">
        <v>437</v>
      </c>
      <c r="C443" s="654"/>
      <c r="D443" s="654"/>
      <c r="E443" s="655"/>
      <c r="F443" s="654"/>
      <c r="H443" s="609" t="str">
        <f t="shared" si="100"/>
        <v/>
      </c>
      <c r="I443" s="609" t="str">
        <f t="shared" si="100"/>
        <v/>
      </c>
      <c r="J443" s="609" t="str">
        <f t="shared" si="100"/>
        <v/>
      </c>
      <c r="K443" s="609" t="str">
        <f t="shared" si="100"/>
        <v/>
      </c>
      <c r="L443" s="609" t="str">
        <f t="shared" si="100"/>
        <v/>
      </c>
      <c r="M443" s="609" t="str">
        <f t="shared" si="100"/>
        <v/>
      </c>
      <c r="N443" s="609" t="str">
        <f t="shared" si="100"/>
        <v/>
      </c>
      <c r="O443" s="609" t="str">
        <f t="shared" si="100"/>
        <v/>
      </c>
      <c r="P443" s="609" t="str">
        <f t="shared" si="100"/>
        <v/>
      </c>
      <c r="Q443" s="609" t="str">
        <f t="shared" si="100"/>
        <v/>
      </c>
      <c r="R443" s="609" t="str">
        <f t="shared" si="100"/>
        <v/>
      </c>
      <c r="S443" s="609" t="str">
        <f t="shared" si="100"/>
        <v/>
      </c>
      <c r="T443" s="609" t="str">
        <f t="shared" si="100"/>
        <v/>
      </c>
      <c r="U443" s="609" t="str">
        <f t="shared" si="100"/>
        <v/>
      </c>
      <c r="V443" s="609" t="str">
        <f t="shared" si="100"/>
        <v/>
      </c>
      <c r="W443" s="609" t="str">
        <f t="shared" si="100"/>
        <v/>
      </c>
      <c r="X443" s="609" t="str">
        <f t="shared" si="99"/>
        <v/>
      </c>
      <c r="Y443" s="609" t="str">
        <f t="shared" si="99"/>
        <v/>
      </c>
      <c r="Z443" s="609" t="str">
        <f t="shared" si="99"/>
        <v/>
      </c>
      <c r="AA443" s="609" t="str">
        <f t="shared" si="99"/>
        <v/>
      </c>
      <c r="AB443" s="609" t="str">
        <f t="shared" si="99"/>
        <v/>
      </c>
      <c r="AC443" s="609" t="str">
        <f t="shared" si="99"/>
        <v/>
      </c>
      <c r="AD443" s="609" t="str">
        <f t="shared" si="99"/>
        <v/>
      </c>
      <c r="AE443" s="609" t="str">
        <f t="shared" si="99"/>
        <v/>
      </c>
      <c r="AF443" s="609" t="str">
        <f t="shared" si="99"/>
        <v/>
      </c>
      <c r="AG443" s="609" t="str">
        <f t="shared" si="99"/>
        <v/>
      </c>
      <c r="AH443" s="609" t="str">
        <f t="shared" si="99"/>
        <v/>
      </c>
      <c r="AI443" s="609" t="str">
        <f t="shared" si="99"/>
        <v/>
      </c>
      <c r="AJ443" s="609" t="str">
        <f t="shared" si="99"/>
        <v/>
      </c>
      <c r="AK443" s="609" t="str">
        <f t="shared" si="99"/>
        <v/>
      </c>
      <c r="AL443" s="609" t="str">
        <f t="shared" si="99"/>
        <v/>
      </c>
      <c r="AM443" s="609" t="str">
        <f t="shared" ref="AM443:BB458" si="102">IF($D443=AM$6,$B443&amp;", ","")</f>
        <v/>
      </c>
      <c r="AN443" s="609" t="str">
        <f t="shared" si="102"/>
        <v/>
      </c>
      <c r="AO443" s="609" t="str">
        <f t="shared" si="102"/>
        <v/>
      </c>
      <c r="AP443" s="609" t="str">
        <f t="shared" si="102"/>
        <v/>
      </c>
      <c r="AQ443" s="609" t="str">
        <f t="shared" si="102"/>
        <v/>
      </c>
      <c r="AR443" s="609" t="str">
        <f t="shared" si="102"/>
        <v/>
      </c>
      <c r="AS443" s="609" t="str">
        <f t="shared" si="102"/>
        <v/>
      </c>
      <c r="AT443" s="609" t="str">
        <f t="shared" si="102"/>
        <v/>
      </c>
      <c r="AU443" s="609" t="str">
        <f t="shared" si="102"/>
        <v/>
      </c>
      <c r="AV443" s="609" t="str">
        <f t="shared" si="102"/>
        <v/>
      </c>
      <c r="AW443" s="609" t="str">
        <f t="shared" si="102"/>
        <v/>
      </c>
      <c r="AX443" s="609" t="str">
        <f t="shared" si="102"/>
        <v/>
      </c>
      <c r="AY443" s="609" t="str">
        <f t="shared" si="102"/>
        <v/>
      </c>
      <c r="AZ443" s="609" t="str">
        <f t="shared" si="102"/>
        <v/>
      </c>
      <c r="BA443" s="609" t="str">
        <f t="shared" si="102"/>
        <v/>
      </c>
      <c r="BB443" s="609" t="str">
        <f t="shared" si="102"/>
        <v/>
      </c>
      <c r="BC443" s="609" t="str">
        <f t="shared" si="101"/>
        <v/>
      </c>
      <c r="BD443" s="609" t="str">
        <f t="shared" si="101"/>
        <v/>
      </c>
      <c r="BE443" s="609" t="str">
        <f t="shared" si="101"/>
        <v/>
      </c>
      <c r="BF443" s="609" t="str">
        <f t="shared" si="101"/>
        <v/>
      </c>
      <c r="BG443" s="609" t="str">
        <f t="shared" si="101"/>
        <v/>
      </c>
    </row>
    <row r="444" spans="2:59" x14ac:dyDescent="0.25">
      <c r="B444" s="654">
        <v>438</v>
      </c>
      <c r="C444" s="654"/>
      <c r="D444" s="654"/>
      <c r="E444" s="655"/>
      <c r="F444" s="654"/>
      <c r="H444" s="609" t="str">
        <f t="shared" si="100"/>
        <v/>
      </c>
      <c r="I444" s="609" t="str">
        <f t="shared" si="100"/>
        <v/>
      </c>
      <c r="J444" s="609" t="str">
        <f t="shared" si="100"/>
        <v/>
      </c>
      <c r="K444" s="609" t="str">
        <f t="shared" si="100"/>
        <v/>
      </c>
      <c r="L444" s="609" t="str">
        <f t="shared" si="100"/>
        <v/>
      </c>
      <c r="M444" s="609" t="str">
        <f t="shared" si="100"/>
        <v/>
      </c>
      <c r="N444" s="609" t="str">
        <f t="shared" si="100"/>
        <v/>
      </c>
      <c r="O444" s="609" t="str">
        <f t="shared" si="100"/>
        <v/>
      </c>
      <c r="P444" s="609" t="str">
        <f t="shared" si="100"/>
        <v/>
      </c>
      <c r="Q444" s="609" t="str">
        <f t="shared" si="100"/>
        <v/>
      </c>
      <c r="R444" s="609" t="str">
        <f t="shared" si="100"/>
        <v/>
      </c>
      <c r="S444" s="609" t="str">
        <f t="shared" si="100"/>
        <v/>
      </c>
      <c r="T444" s="609" t="str">
        <f t="shared" si="100"/>
        <v/>
      </c>
      <c r="U444" s="609" t="str">
        <f t="shared" si="100"/>
        <v/>
      </c>
      <c r="V444" s="609" t="str">
        <f t="shared" si="100"/>
        <v/>
      </c>
      <c r="W444" s="609" t="str">
        <f t="shared" si="100"/>
        <v/>
      </c>
      <c r="X444" s="609" t="str">
        <f t="shared" si="99"/>
        <v/>
      </c>
      <c r="Y444" s="609" t="str">
        <f t="shared" si="99"/>
        <v/>
      </c>
      <c r="Z444" s="609" t="str">
        <f t="shared" si="99"/>
        <v/>
      </c>
      <c r="AA444" s="609" t="str">
        <f t="shared" si="99"/>
        <v/>
      </c>
      <c r="AB444" s="609" t="str">
        <f t="shared" si="99"/>
        <v/>
      </c>
      <c r="AC444" s="609" t="str">
        <f t="shared" si="99"/>
        <v/>
      </c>
      <c r="AD444" s="609" t="str">
        <f t="shared" si="99"/>
        <v/>
      </c>
      <c r="AE444" s="609" t="str">
        <f t="shared" si="99"/>
        <v/>
      </c>
      <c r="AF444" s="609" t="str">
        <f t="shared" si="99"/>
        <v/>
      </c>
      <c r="AG444" s="609" t="str">
        <f t="shared" si="99"/>
        <v/>
      </c>
      <c r="AH444" s="609" t="str">
        <f t="shared" si="99"/>
        <v/>
      </c>
      <c r="AI444" s="609" t="str">
        <f t="shared" si="99"/>
        <v/>
      </c>
      <c r="AJ444" s="609" t="str">
        <f t="shared" si="99"/>
        <v/>
      </c>
      <c r="AK444" s="609" t="str">
        <f t="shared" si="99"/>
        <v/>
      </c>
      <c r="AL444" s="609" t="str">
        <f t="shared" si="99"/>
        <v/>
      </c>
      <c r="AM444" s="609" t="str">
        <f t="shared" si="102"/>
        <v/>
      </c>
      <c r="AN444" s="609" t="str">
        <f t="shared" si="102"/>
        <v/>
      </c>
      <c r="AO444" s="609" t="str">
        <f t="shared" si="102"/>
        <v/>
      </c>
      <c r="AP444" s="609" t="str">
        <f t="shared" si="102"/>
        <v/>
      </c>
      <c r="AQ444" s="609" t="str">
        <f t="shared" si="102"/>
        <v/>
      </c>
      <c r="AR444" s="609" t="str">
        <f t="shared" si="102"/>
        <v/>
      </c>
      <c r="AS444" s="609" t="str">
        <f t="shared" si="102"/>
        <v/>
      </c>
      <c r="AT444" s="609" t="str">
        <f t="shared" si="102"/>
        <v/>
      </c>
      <c r="AU444" s="609" t="str">
        <f t="shared" si="102"/>
        <v/>
      </c>
      <c r="AV444" s="609" t="str">
        <f t="shared" si="102"/>
        <v/>
      </c>
      <c r="AW444" s="609" t="str">
        <f t="shared" si="102"/>
        <v/>
      </c>
      <c r="AX444" s="609" t="str">
        <f t="shared" si="102"/>
        <v/>
      </c>
      <c r="AY444" s="609" t="str">
        <f t="shared" si="102"/>
        <v/>
      </c>
      <c r="AZ444" s="609" t="str">
        <f t="shared" si="102"/>
        <v/>
      </c>
      <c r="BA444" s="609" t="str">
        <f t="shared" si="102"/>
        <v/>
      </c>
      <c r="BB444" s="609" t="str">
        <f t="shared" si="102"/>
        <v/>
      </c>
      <c r="BC444" s="609" t="str">
        <f t="shared" si="101"/>
        <v/>
      </c>
      <c r="BD444" s="609" t="str">
        <f t="shared" si="101"/>
        <v/>
      </c>
      <c r="BE444" s="609" t="str">
        <f t="shared" si="101"/>
        <v/>
      </c>
      <c r="BF444" s="609" t="str">
        <f t="shared" si="101"/>
        <v/>
      </c>
      <c r="BG444" s="609" t="str">
        <f t="shared" si="101"/>
        <v/>
      </c>
    </row>
    <row r="445" spans="2:59" x14ac:dyDescent="0.25">
      <c r="B445" s="654">
        <v>439</v>
      </c>
      <c r="C445" s="654"/>
      <c r="D445" s="654"/>
      <c r="E445" s="655"/>
      <c r="F445" s="654"/>
      <c r="H445" s="609" t="str">
        <f t="shared" si="100"/>
        <v/>
      </c>
      <c r="I445" s="609" t="str">
        <f t="shared" si="100"/>
        <v/>
      </c>
      <c r="J445" s="609" t="str">
        <f t="shared" si="100"/>
        <v/>
      </c>
      <c r="K445" s="609" t="str">
        <f t="shared" si="100"/>
        <v/>
      </c>
      <c r="L445" s="609" t="str">
        <f t="shared" si="100"/>
        <v/>
      </c>
      <c r="M445" s="609" t="str">
        <f t="shared" si="100"/>
        <v/>
      </c>
      <c r="N445" s="609" t="str">
        <f t="shared" si="100"/>
        <v/>
      </c>
      <c r="O445" s="609" t="str">
        <f t="shared" si="100"/>
        <v/>
      </c>
      <c r="P445" s="609" t="str">
        <f t="shared" si="100"/>
        <v/>
      </c>
      <c r="Q445" s="609" t="str">
        <f t="shared" si="100"/>
        <v/>
      </c>
      <c r="R445" s="609" t="str">
        <f t="shared" si="100"/>
        <v/>
      </c>
      <c r="S445" s="609" t="str">
        <f t="shared" si="100"/>
        <v/>
      </c>
      <c r="T445" s="609" t="str">
        <f t="shared" si="100"/>
        <v/>
      </c>
      <c r="U445" s="609" t="str">
        <f t="shared" si="100"/>
        <v/>
      </c>
      <c r="V445" s="609" t="str">
        <f t="shared" si="100"/>
        <v/>
      </c>
      <c r="W445" s="609" t="str">
        <f t="shared" si="100"/>
        <v/>
      </c>
      <c r="X445" s="609" t="str">
        <f t="shared" si="99"/>
        <v/>
      </c>
      <c r="Y445" s="609" t="str">
        <f t="shared" si="99"/>
        <v/>
      </c>
      <c r="Z445" s="609" t="str">
        <f t="shared" si="99"/>
        <v/>
      </c>
      <c r="AA445" s="609" t="str">
        <f t="shared" si="99"/>
        <v/>
      </c>
      <c r="AB445" s="609" t="str">
        <f t="shared" si="99"/>
        <v/>
      </c>
      <c r="AC445" s="609" t="str">
        <f t="shared" si="99"/>
        <v/>
      </c>
      <c r="AD445" s="609" t="str">
        <f t="shared" si="99"/>
        <v/>
      </c>
      <c r="AE445" s="609" t="str">
        <f t="shared" si="99"/>
        <v/>
      </c>
      <c r="AF445" s="609" t="str">
        <f t="shared" si="99"/>
        <v/>
      </c>
      <c r="AG445" s="609" t="str">
        <f t="shared" si="99"/>
        <v/>
      </c>
      <c r="AH445" s="609" t="str">
        <f t="shared" si="99"/>
        <v/>
      </c>
      <c r="AI445" s="609" t="str">
        <f t="shared" si="99"/>
        <v/>
      </c>
      <c r="AJ445" s="609" t="str">
        <f t="shared" si="99"/>
        <v/>
      </c>
      <c r="AK445" s="609" t="str">
        <f t="shared" si="99"/>
        <v/>
      </c>
      <c r="AL445" s="609" t="str">
        <f t="shared" si="99"/>
        <v/>
      </c>
      <c r="AM445" s="609" t="str">
        <f t="shared" si="102"/>
        <v/>
      </c>
      <c r="AN445" s="609" t="str">
        <f t="shared" si="102"/>
        <v/>
      </c>
      <c r="AO445" s="609" t="str">
        <f t="shared" si="102"/>
        <v/>
      </c>
      <c r="AP445" s="609" t="str">
        <f t="shared" si="102"/>
        <v/>
      </c>
      <c r="AQ445" s="609" t="str">
        <f t="shared" si="102"/>
        <v/>
      </c>
      <c r="AR445" s="609" t="str">
        <f t="shared" si="102"/>
        <v/>
      </c>
      <c r="AS445" s="609" t="str">
        <f t="shared" si="102"/>
        <v/>
      </c>
      <c r="AT445" s="609" t="str">
        <f t="shared" si="102"/>
        <v/>
      </c>
      <c r="AU445" s="609" t="str">
        <f t="shared" si="102"/>
        <v/>
      </c>
      <c r="AV445" s="609" t="str">
        <f t="shared" si="102"/>
        <v/>
      </c>
      <c r="AW445" s="609" t="str">
        <f t="shared" si="102"/>
        <v/>
      </c>
      <c r="AX445" s="609" t="str">
        <f t="shared" si="102"/>
        <v/>
      </c>
      <c r="AY445" s="609" t="str">
        <f t="shared" si="102"/>
        <v/>
      </c>
      <c r="AZ445" s="609" t="str">
        <f t="shared" si="102"/>
        <v/>
      </c>
      <c r="BA445" s="609" t="str">
        <f t="shared" si="102"/>
        <v/>
      </c>
      <c r="BB445" s="609" t="str">
        <f t="shared" si="102"/>
        <v/>
      </c>
      <c r="BC445" s="609" t="str">
        <f t="shared" si="101"/>
        <v/>
      </c>
      <c r="BD445" s="609" t="str">
        <f t="shared" si="101"/>
        <v/>
      </c>
      <c r="BE445" s="609" t="str">
        <f t="shared" si="101"/>
        <v/>
      </c>
      <c r="BF445" s="609" t="str">
        <f t="shared" si="101"/>
        <v/>
      </c>
      <c r="BG445" s="609" t="str">
        <f t="shared" si="101"/>
        <v/>
      </c>
    </row>
    <row r="446" spans="2:59" x14ac:dyDescent="0.25">
      <c r="B446" s="654">
        <v>440</v>
      </c>
      <c r="C446" s="654"/>
      <c r="D446" s="654"/>
      <c r="E446" s="655"/>
      <c r="F446" s="654"/>
      <c r="H446" s="609" t="str">
        <f t="shared" si="100"/>
        <v/>
      </c>
      <c r="I446" s="609" t="str">
        <f t="shared" si="100"/>
        <v/>
      </c>
      <c r="J446" s="609" t="str">
        <f t="shared" si="100"/>
        <v/>
      </c>
      <c r="K446" s="609" t="str">
        <f t="shared" si="100"/>
        <v/>
      </c>
      <c r="L446" s="609" t="str">
        <f t="shared" si="100"/>
        <v/>
      </c>
      <c r="M446" s="609" t="str">
        <f t="shared" si="100"/>
        <v/>
      </c>
      <c r="N446" s="609" t="str">
        <f t="shared" si="100"/>
        <v/>
      </c>
      <c r="O446" s="609" t="str">
        <f t="shared" si="100"/>
        <v/>
      </c>
      <c r="P446" s="609" t="str">
        <f t="shared" si="100"/>
        <v/>
      </c>
      <c r="Q446" s="609" t="str">
        <f t="shared" si="100"/>
        <v/>
      </c>
      <c r="R446" s="609" t="str">
        <f t="shared" si="100"/>
        <v/>
      </c>
      <c r="S446" s="609" t="str">
        <f t="shared" si="100"/>
        <v/>
      </c>
      <c r="T446" s="609" t="str">
        <f t="shared" si="100"/>
        <v/>
      </c>
      <c r="U446" s="609" t="str">
        <f t="shared" si="100"/>
        <v/>
      </c>
      <c r="V446" s="609" t="str">
        <f t="shared" si="100"/>
        <v/>
      </c>
      <c r="W446" s="609" t="str">
        <f t="shared" si="100"/>
        <v/>
      </c>
      <c r="X446" s="609" t="str">
        <f t="shared" si="99"/>
        <v/>
      </c>
      <c r="Y446" s="609" t="str">
        <f t="shared" si="99"/>
        <v/>
      </c>
      <c r="Z446" s="609" t="str">
        <f t="shared" si="99"/>
        <v/>
      </c>
      <c r="AA446" s="609" t="str">
        <f t="shared" si="99"/>
        <v/>
      </c>
      <c r="AB446" s="609" t="str">
        <f t="shared" si="99"/>
        <v/>
      </c>
      <c r="AC446" s="609" t="str">
        <f t="shared" si="99"/>
        <v/>
      </c>
      <c r="AD446" s="609" t="str">
        <f t="shared" si="99"/>
        <v/>
      </c>
      <c r="AE446" s="609" t="str">
        <f t="shared" si="99"/>
        <v/>
      </c>
      <c r="AF446" s="609" t="str">
        <f t="shared" si="99"/>
        <v/>
      </c>
      <c r="AG446" s="609" t="str">
        <f t="shared" si="99"/>
        <v/>
      </c>
      <c r="AH446" s="609" t="str">
        <f t="shared" si="99"/>
        <v/>
      </c>
      <c r="AI446" s="609" t="str">
        <f t="shared" si="99"/>
        <v/>
      </c>
      <c r="AJ446" s="609" t="str">
        <f t="shared" si="99"/>
        <v/>
      </c>
      <c r="AK446" s="609" t="str">
        <f t="shared" si="99"/>
        <v/>
      </c>
      <c r="AL446" s="609" t="str">
        <f t="shared" si="99"/>
        <v/>
      </c>
      <c r="AM446" s="609" t="str">
        <f t="shared" si="102"/>
        <v/>
      </c>
      <c r="AN446" s="609" t="str">
        <f t="shared" si="102"/>
        <v/>
      </c>
      <c r="AO446" s="609" t="str">
        <f t="shared" si="102"/>
        <v/>
      </c>
      <c r="AP446" s="609" t="str">
        <f t="shared" si="102"/>
        <v/>
      </c>
      <c r="AQ446" s="609" t="str">
        <f t="shared" si="102"/>
        <v/>
      </c>
      <c r="AR446" s="609" t="str">
        <f t="shared" si="102"/>
        <v/>
      </c>
      <c r="AS446" s="609" t="str">
        <f t="shared" si="102"/>
        <v/>
      </c>
      <c r="AT446" s="609" t="str">
        <f t="shared" si="102"/>
        <v/>
      </c>
      <c r="AU446" s="609" t="str">
        <f t="shared" si="102"/>
        <v/>
      </c>
      <c r="AV446" s="609" t="str">
        <f t="shared" si="102"/>
        <v/>
      </c>
      <c r="AW446" s="609" t="str">
        <f t="shared" si="102"/>
        <v/>
      </c>
      <c r="AX446" s="609" t="str">
        <f t="shared" si="102"/>
        <v/>
      </c>
      <c r="AY446" s="609" t="str">
        <f t="shared" si="102"/>
        <v/>
      </c>
      <c r="AZ446" s="609" t="str">
        <f t="shared" si="102"/>
        <v/>
      </c>
      <c r="BA446" s="609" t="str">
        <f t="shared" si="102"/>
        <v/>
      </c>
      <c r="BB446" s="609" t="str">
        <f t="shared" si="102"/>
        <v/>
      </c>
      <c r="BC446" s="609" t="str">
        <f t="shared" si="101"/>
        <v/>
      </c>
      <c r="BD446" s="609" t="str">
        <f t="shared" si="101"/>
        <v/>
      </c>
      <c r="BE446" s="609" t="str">
        <f t="shared" si="101"/>
        <v/>
      </c>
      <c r="BF446" s="609" t="str">
        <f t="shared" si="101"/>
        <v/>
      </c>
      <c r="BG446" s="609" t="str">
        <f t="shared" si="101"/>
        <v/>
      </c>
    </row>
    <row r="447" spans="2:59" x14ac:dyDescent="0.25">
      <c r="B447" s="654">
        <v>441</v>
      </c>
      <c r="C447" s="654"/>
      <c r="D447" s="654"/>
      <c r="E447" s="655"/>
      <c r="F447" s="654"/>
      <c r="H447" s="609" t="str">
        <f t="shared" si="100"/>
        <v/>
      </c>
      <c r="I447" s="609" t="str">
        <f t="shared" si="100"/>
        <v/>
      </c>
      <c r="J447" s="609" t="str">
        <f t="shared" si="100"/>
        <v/>
      </c>
      <c r="K447" s="609" t="str">
        <f t="shared" si="100"/>
        <v/>
      </c>
      <c r="L447" s="609" t="str">
        <f t="shared" si="100"/>
        <v/>
      </c>
      <c r="M447" s="609" t="str">
        <f t="shared" si="100"/>
        <v/>
      </c>
      <c r="N447" s="609" t="str">
        <f t="shared" si="100"/>
        <v/>
      </c>
      <c r="O447" s="609" t="str">
        <f t="shared" si="100"/>
        <v/>
      </c>
      <c r="P447" s="609" t="str">
        <f t="shared" si="100"/>
        <v/>
      </c>
      <c r="Q447" s="609" t="str">
        <f t="shared" si="100"/>
        <v/>
      </c>
      <c r="R447" s="609" t="str">
        <f t="shared" si="100"/>
        <v/>
      </c>
      <c r="S447" s="609" t="str">
        <f t="shared" si="100"/>
        <v/>
      </c>
      <c r="T447" s="609" t="str">
        <f t="shared" si="100"/>
        <v/>
      </c>
      <c r="U447" s="609" t="str">
        <f t="shared" si="100"/>
        <v/>
      </c>
      <c r="V447" s="609" t="str">
        <f t="shared" si="100"/>
        <v/>
      </c>
      <c r="W447" s="609" t="str">
        <f t="shared" si="100"/>
        <v/>
      </c>
      <c r="X447" s="609" t="str">
        <f t="shared" si="99"/>
        <v/>
      </c>
      <c r="Y447" s="609" t="str">
        <f t="shared" si="99"/>
        <v/>
      </c>
      <c r="Z447" s="609" t="str">
        <f t="shared" si="99"/>
        <v/>
      </c>
      <c r="AA447" s="609" t="str">
        <f t="shared" si="99"/>
        <v/>
      </c>
      <c r="AB447" s="609" t="str">
        <f t="shared" si="99"/>
        <v/>
      </c>
      <c r="AC447" s="609" t="str">
        <f t="shared" si="99"/>
        <v/>
      </c>
      <c r="AD447" s="609" t="str">
        <f t="shared" si="99"/>
        <v/>
      </c>
      <c r="AE447" s="609" t="str">
        <f t="shared" si="99"/>
        <v/>
      </c>
      <c r="AF447" s="609" t="str">
        <f t="shared" si="99"/>
        <v/>
      </c>
      <c r="AG447" s="609" t="str">
        <f t="shared" si="99"/>
        <v/>
      </c>
      <c r="AH447" s="609" t="str">
        <f t="shared" si="99"/>
        <v/>
      </c>
      <c r="AI447" s="609" t="str">
        <f t="shared" si="99"/>
        <v/>
      </c>
      <c r="AJ447" s="609" t="str">
        <f t="shared" si="99"/>
        <v/>
      </c>
      <c r="AK447" s="609" t="str">
        <f t="shared" si="99"/>
        <v/>
      </c>
      <c r="AL447" s="609" t="str">
        <f t="shared" si="99"/>
        <v/>
      </c>
      <c r="AM447" s="609" t="str">
        <f t="shared" si="102"/>
        <v/>
      </c>
      <c r="AN447" s="609" t="str">
        <f t="shared" si="102"/>
        <v/>
      </c>
      <c r="AO447" s="609" t="str">
        <f t="shared" si="102"/>
        <v/>
      </c>
      <c r="AP447" s="609" t="str">
        <f t="shared" si="102"/>
        <v/>
      </c>
      <c r="AQ447" s="609" t="str">
        <f t="shared" si="102"/>
        <v/>
      </c>
      <c r="AR447" s="609" t="str">
        <f t="shared" si="102"/>
        <v/>
      </c>
      <c r="AS447" s="609" t="str">
        <f t="shared" si="102"/>
        <v/>
      </c>
      <c r="AT447" s="609" t="str">
        <f t="shared" si="102"/>
        <v/>
      </c>
      <c r="AU447" s="609" t="str">
        <f t="shared" si="102"/>
        <v/>
      </c>
      <c r="AV447" s="609" t="str">
        <f t="shared" si="102"/>
        <v/>
      </c>
      <c r="AW447" s="609" t="str">
        <f t="shared" si="102"/>
        <v/>
      </c>
      <c r="AX447" s="609" t="str">
        <f t="shared" si="102"/>
        <v/>
      </c>
      <c r="AY447" s="609" t="str">
        <f t="shared" si="102"/>
        <v/>
      </c>
      <c r="AZ447" s="609" t="str">
        <f t="shared" si="102"/>
        <v/>
      </c>
      <c r="BA447" s="609" t="str">
        <f t="shared" si="102"/>
        <v/>
      </c>
      <c r="BB447" s="609" t="str">
        <f t="shared" si="102"/>
        <v/>
      </c>
      <c r="BC447" s="609" t="str">
        <f t="shared" si="101"/>
        <v/>
      </c>
      <c r="BD447" s="609" t="str">
        <f t="shared" si="101"/>
        <v/>
      </c>
      <c r="BE447" s="609" t="str">
        <f t="shared" si="101"/>
        <v/>
      </c>
      <c r="BF447" s="609" t="str">
        <f t="shared" si="101"/>
        <v/>
      </c>
      <c r="BG447" s="609" t="str">
        <f t="shared" si="101"/>
        <v/>
      </c>
    </row>
    <row r="448" spans="2:59" x14ac:dyDescent="0.25">
      <c r="B448" s="654">
        <v>442</v>
      </c>
      <c r="C448" s="654"/>
      <c r="D448" s="654"/>
      <c r="E448" s="655"/>
      <c r="F448" s="654"/>
      <c r="H448" s="609" t="str">
        <f t="shared" si="100"/>
        <v/>
      </c>
      <c r="I448" s="609" t="str">
        <f t="shared" si="100"/>
        <v/>
      </c>
      <c r="J448" s="609" t="str">
        <f t="shared" si="100"/>
        <v/>
      </c>
      <c r="K448" s="609" t="str">
        <f t="shared" si="100"/>
        <v/>
      </c>
      <c r="L448" s="609" t="str">
        <f t="shared" si="100"/>
        <v/>
      </c>
      <c r="M448" s="609" t="str">
        <f t="shared" si="100"/>
        <v/>
      </c>
      <c r="N448" s="609" t="str">
        <f t="shared" si="100"/>
        <v/>
      </c>
      <c r="O448" s="609" t="str">
        <f t="shared" si="100"/>
        <v/>
      </c>
      <c r="P448" s="609" t="str">
        <f t="shared" si="100"/>
        <v/>
      </c>
      <c r="Q448" s="609" t="str">
        <f t="shared" si="100"/>
        <v/>
      </c>
      <c r="R448" s="609" t="str">
        <f t="shared" si="100"/>
        <v/>
      </c>
      <c r="S448" s="609" t="str">
        <f t="shared" si="100"/>
        <v/>
      </c>
      <c r="T448" s="609" t="str">
        <f t="shared" si="100"/>
        <v/>
      </c>
      <c r="U448" s="609" t="str">
        <f t="shared" si="100"/>
        <v/>
      </c>
      <c r="V448" s="609" t="str">
        <f t="shared" si="100"/>
        <v/>
      </c>
      <c r="W448" s="609" t="str">
        <f t="shared" si="100"/>
        <v/>
      </c>
      <c r="X448" s="609" t="str">
        <f t="shared" si="99"/>
        <v/>
      </c>
      <c r="Y448" s="609" t="str">
        <f t="shared" si="99"/>
        <v/>
      </c>
      <c r="Z448" s="609" t="str">
        <f t="shared" si="99"/>
        <v/>
      </c>
      <c r="AA448" s="609" t="str">
        <f t="shared" si="99"/>
        <v/>
      </c>
      <c r="AB448" s="609" t="str">
        <f t="shared" si="99"/>
        <v/>
      </c>
      <c r="AC448" s="609" t="str">
        <f t="shared" si="99"/>
        <v/>
      </c>
      <c r="AD448" s="609" t="str">
        <f t="shared" si="99"/>
        <v/>
      </c>
      <c r="AE448" s="609" t="str">
        <f t="shared" si="99"/>
        <v/>
      </c>
      <c r="AF448" s="609" t="str">
        <f t="shared" si="99"/>
        <v/>
      </c>
      <c r="AG448" s="609" t="str">
        <f t="shared" si="99"/>
        <v/>
      </c>
      <c r="AH448" s="609" t="str">
        <f t="shared" si="99"/>
        <v/>
      </c>
      <c r="AI448" s="609" t="str">
        <f t="shared" si="99"/>
        <v/>
      </c>
      <c r="AJ448" s="609" t="str">
        <f t="shared" si="99"/>
        <v/>
      </c>
      <c r="AK448" s="609" t="str">
        <f t="shared" si="99"/>
        <v/>
      </c>
      <c r="AL448" s="609" t="str">
        <f t="shared" si="99"/>
        <v/>
      </c>
      <c r="AM448" s="609" t="str">
        <f t="shared" si="102"/>
        <v/>
      </c>
      <c r="AN448" s="609" t="str">
        <f t="shared" si="102"/>
        <v/>
      </c>
      <c r="AO448" s="609" t="str">
        <f t="shared" si="102"/>
        <v/>
      </c>
      <c r="AP448" s="609" t="str">
        <f t="shared" si="102"/>
        <v/>
      </c>
      <c r="AQ448" s="609" t="str">
        <f t="shared" si="102"/>
        <v/>
      </c>
      <c r="AR448" s="609" t="str">
        <f t="shared" si="102"/>
        <v/>
      </c>
      <c r="AS448" s="609" t="str">
        <f t="shared" si="102"/>
        <v/>
      </c>
      <c r="AT448" s="609" t="str">
        <f t="shared" si="102"/>
        <v/>
      </c>
      <c r="AU448" s="609" t="str">
        <f t="shared" si="102"/>
        <v/>
      </c>
      <c r="AV448" s="609" t="str">
        <f t="shared" si="102"/>
        <v/>
      </c>
      <c r="AW448" s="609" t="str">
        <f t="shared" si="102"/>
        <v/>
      </c>
      <c r="AX448" s="609" t="str">
        <f t="shared" si="102"/>
        <v/>
      </c>
      <c r="AY448" s="609" t="str">
        <f t="shared" si="102"/>
        <v/>
      </c>
      <c r="AZ448" s="609" t="str">
        <f t="shared" si="102"/>
        <v/>
      </c>
      <c r="BA448" s="609" t="str">
        <f t="shared" si="102"/>
        <v/>
      </c>
      <c r="BB448" s="609" t="str">
        <f t="shared" si="102"/>
        <v/>
      </c>
      <c r="BC448" s="609" t="str">
        <f t="shared" si="101"/>
        <v/>
      </c>
      <c r="BD448" s="609" t="str">
        <f t="shared" si="101"/>
        <v/>
      </c>
      <c r="BE448" s="609" t="str">
        <f t="shared" si="101"/>
        <v/>
      </c>
      <c r="BF448" s="609" t="str">
        <f t="shared" si="101"/>
        <v/>
      </c>
      <c r="BG448" s="609" t="str">
        <f t="shared" si="101"/>
        <v/>
      </c>
    </row>
    <row r="449" spans="2:59" x14ac:dyDescent="0.25">
      <c r="B449" s="654">
        <v>443</v>
      </c>
      <c r="C449" s="654"/>
      <c r="D449" s="654"/>
      <c r="E449" s="655"/>
      <c r="F449" s="654"/>
      <c r="H449" s="609" t="str">
        <f t="shared" si="100"/>
        <v/>
      </c>
      <c r="I449" s="609" t="str">
        <f t="shared" si="100"/>
        <v/>
      </c>
      <c r="J449" s="609" t="str">
        <f t="shared" si="100"/>
        <v/>
      </c>
      <c r="K449" s="609" t="str">
        <f t="shared" si="100"/>
        <v/>
      </c>
      <c r="L449" s="609" t="str">
        <f t="shared" si="100"/>
        <v/>
      </c>
      <c r="M449" s="609" t="str">
        <f t="shared" si="100"/>
        <v/>
      </c>
      <c r="N449" s="609" t="str">
        <f t="shared" si="100"/>
        <v/>
      </c>
      <c r="O449" s="609" t="str">
        <f t="shared" si="100"/>
        <v/>
      </c>
      <c r="P449" s="609" t="str">
        <f t="shared" si="100"/>
        <v/>
      </c>
      <c r="Q449" s="609" t="str">
        <f t="shared" si="100"/>
        <v/>
      </c>
      <c r="R449" s="609" t="str">
        <f t="shared" si="100"/>
        <v/>
      </c>
      <c r="S449" s="609" t="str">
        <f t="shared" si="100"/>
        <v/>
      </c>
      <c r="T449" s="609" t="str">
        <f t="shared" si="100"/>
        <v/>
      </c>
      <c r="U449" s="609" t="str">
        <f t="shared" si="100"/>
        <v/>
      </c>
      <c r="V449" s="609" t="str">
        <f t="shared" si="100"/>
        <v/>
      </c>
      <c r="W449" s="609" t="str">
        <f t="shared" si="100"/>
        <v/>
      </c>
      <c r="X449" s="609" t="str">
        <f t="shared" si="99"/>
        <v/>
      </c>
      <c r="Y449" s="609" t="str">
        <f t="shared" si="99"/>
        <v/>
      </c>
      <c r="Z449" s="609" t="str">
        <f t="shared" si="99"/>
        <v/>
      </c>
      <c r="AA449" s="609" t="str">
        <f t="shared" si="99"/>
        <v/>
      </c>
      <c r="AB449" s="609" t="str">
        <f t="shared" si="99"/>
        <v/>
      </c>
      <c r="AC449" s="609" t="str">
        <f t="shared" si="99"/>
        <v/>
      </c>
      <c r="AD449" s="609" t="str">
        <f t="shared" si="99"/>
        <v/>
      </c>
      <c r="AE449" s="609" t="str">
        <f t="shared" si="99"/>
        <v/>
      </c>
      <c r="AF449" s="609" t="str">
        <f t="shared" si="99"/>
        <v/>
      </c>
      <c r="AG449" s="609" t="str">
        <f t="shared" si="99"/>
        <v/>
      </c>
      <c r="AH449" s="609" t="str">
        <f t="shared" si="99"/>
        <v/>
      </c>
      <c r="AI449" s="609" t="str">
        <f t="shared" si="99"/>
        <v/>
      </c>
      <c r="AJ449" s="609" t="str">
        <f t="shared" si="99"/>
        <v/>
      </c>
      <c r="AK449" s="609" t="str">
        <f t="shared" si="99"/>
        <v/>
      </c>
      <c r="AL449" s="609" t="str">
        <f t="shared" si="99"/>
        <v/>
      </c>
      <c r="AM449" s="609" t="str">
        <f t="shared" si="102"/>
        <v/>
      </c>
      <c r="AN449" s="609" t="str">
        <f t="shared" si="102"/>
        <v/>
      </c>
      <c r="AO449" s="609" t="str">
        <f t="shared" si="102"/>
        <v/>
      </c>
      <c r="AP449" s="609" t="str">
        <f t="shared" si="102"/>
        <v/>
      </c>
      <c r="AQ449" s="609" t="str">
        <f t="shared" si="102"/>
        <v/>
      </c>
      <c r="AR449" s="609" t="str">
        <f t="shared" si="102"/>
        <v/>
      </c>
      <c r="AS449" s="609" t="str">
        <f t="shared" si="102"/>
        <v/>
      </c>
      <c r="AT449" s="609" t="str">
        <f t="shared" si="102"/>
        <v/>
      </c>
      <c r="AU449" s="609" t="str">
        <f t="shared" si="102"/>
        <v/>
      </c>
      <c r="AV449" s="609" t="str">
        <f t="shared" si="102"/>
        <v/>
      </c>
      <c r="AW449" s="609" t="str">
        <f t="shared" si="102"/>
        <v/>
      </c>
      <c r="AX449" s="609" t="str">
        <f t="shared" si="102"/>
        <v/>
      </c>
      <c r="AY449" s="609" t="str">
        <f t="shared" si="102"/>
        <v/>
      </c>
      <c r="AZ449" s="609" t="str">
        <f t="shared" si="102"/>
        <v/>
      </c>
      <c r="BA449" s="609" t="str">
        <f t="shared" si="102"/>
        <v/>
      </c>
      <c r="BB449" s="609" t="str">
        <f t="shared" si="102"/>
        <v/>
      </c>
      <c r="BC449" s="609" t="str">
        <f t="shared" si="101"/>
        <v/>
      </c>
      <c r="BD449" s="609" t="str">
        <f t="shared" si="101"/>
        <v/>
      </c>
      <c r="BE449" s="609" t="str">
        <f t="shared" si="101"/>
        <v/>
      </c>
      <c r="BF449" s="609" t="str">
        <f t="shared" si="101"/>
        <v/>
      </c>
      <c r="BG449" s="609" t="str">
        <f t="shared" si="101"/>
        <v/>
      </c>
    </row>
    <row r="450" spans="2:59" x14ac:dyDescent="0.25">
      <c r="B450" s="654">
        <v>444</v>
      </c>
      <c r="C450" s="654"/>
      <c r="D450" s="654"/>
      <c r="E450" s="655"/>
      <c r="F450" s="654"/>
      <c r="H450" s="609" t="str">
        <f t="shared" si="100"/>
        <v/>
      </c>
      <c r="I450" s="609" t="str">
        <f t="shared" si="100"/>
        <v/>
      </c>
      <c r="J450" s="609" t="str">
        <f t="shared" si="100"/>
        <v/>
      </c>
      <c r="K450" s="609" t="str">
        <f t="shared" si="100"/>
        <v/>
      </c>
      <c r="L450" s="609" t="str">
        <f t="shared" si="100"/>
        <v/>
      </c>
      <c r="M450" s="609" t="str">
        <f t="shared" si="100"/>
        <v/>
      </c>
      <c r="N450" s="609" t="str">
        <f t="shared" si="100"/>
        <v/>
      </c>
      <c r="O450" s="609" t="str">
        <f t="shared" si="100"/>
        <v/>
      </c>
      <c r="P450" s="609" t="str">
        <f t="shared" si="100"/>
        <v/>
      </c>
      <c r="Q450" s="609" t="str">
        <f t="shared" si="100"/>
        <v/>
      </c>
      <c r="R450" s="609" t="str">
        <f t="shared" si="100"/>
        <v/>
      </c>
      <c r="S450" s="609" t="str">
        <f t="shared" si="100"/>
        <v/>
      </c>
      <c r="T450" s="609" t="str">
        <f t="shared" si="100"/>
        <v/>
      </c>
      <c r="U450" s="609" t="str">
        <f t="shared" si="100"/>
        <v/>
      </c>
      <c r="V450" s="609" t="str">
        <f t="shared" si="100"/>
        <v/>
      </c>
      <c r="W450" s="609" t="str">
        <f t="shared" si="100"/>
        <v/>
      </c>
      <c r="X450" s="609" t="str">
        <f t="shared" si="99"/>
        <v/>
      </c>
      <c r="Y450" s="609" t="str">
        <f t="shared" si="99"/>
        <v/>
      </c>
      <c r="Z450" s="609" t="str">
        <f t="shared" si="99"/>
        <v/>
      </c>
      <c r="AA450" s="609" t="str">
        <f t="shared" si="99"/>
        <v/>
      </c>
      <c r="AB450" s="609" t="str">
        <f t="shared" si="99"/>
        <v/>
      </c>
      <c r="AC450" s="609" t="str">
        <f t="shared" si="99"/>
        <v/>
      </c>
      <c r="AD450" s="609" t="str">
        <f t="shared" si="99"/>
        <v/>
      </c>
      <c r="AE450" s="609" t="str">
        <f t="shared" si="99"/>
        <v/>
      </c>
      <c r="AF450" s="609" t="str">
        <f t="shared" si="99"/>
        <v/>
      </c>
      <c r="AG450" s="609" t="str">
        <f t="shared" si="99"/>
        <v/>
      </c>
      <c r="AH450" s="609" t="str">
        <f t="shared" si="99"/>
        <v/>
      </c>
      <c r="AI450" s="609" t="str">
        <f t="shared" si="99"/>
        <v/>
      </c>
      <c r="AJ450" s="609" t="str">
        <f t="shared" si="99"/>
        <v/>
      </c>
      <c r="AK450" s="609" t="str">
        <f t="shared" si="99"/>
        <v/>
      </c>
      <c r="AL450" s="609" t="str">
        <f t="shared" si="99"/>
        <v/>
      </c>
      <c r="AM450" s="609" t="str">
        <f t="shared" si="102"/>
        <v/>
      </c>
      <c r="AN450" s="609" t="str">
        <f t="shared" si="102"/>
        <v/>
      </c>
      <c r="AO450" s="609" t="str">
        <f t="shared" si="102"/>
        <v/>
      </c>
      <c r="AP450" s="609" t="str">
        <f t="shared" si="102"/>
        <v/>
      </c>
      <c r="AQ450" s="609" t="str">
        <f t="shared" si="102"/>
        <v/>
      </c>
      <c r="AR450" s="609" t="str">
        <f t="shared" si="102"/>
        <v/>
      </c>
      <c r="AS450" s="609" t="str">
        <f t="shared" si="102"/>
        <v/>
      </c>
      <c r="AT450" s="609" t="str">
        <f t="shared" si="102"/>
        <v/>
      </c>
      <c r="AU450" s="609" t="str">
        <f t="shared" si="102"/>
        <v/>
      </c>
      <c r="AV450" s="609" t="str">
        <f t="shared" si="102"/>
        <v/>
      </c>
      <c r="AW450" s="609" t="str">
        <f t="shared" si="102"/>
        <v/>
      </c>
      <c r="AX450" s="609" t="str">
        <f t="shared" si="102"/>
        <v/>
      </c>
      <c r="AY450" s="609" t="str">
        <f t="shared" si="102"/>
        <v/>
      </c>
      <c r="AZ450" s="609" t="str">
        <f t="shared" si="102"/>
        <v/>
      </c>
      <c r="BA450" s="609" t="str">
        <f t="shared" si="102"/>
        <v/>
      </c>
      <c r="BB450" s="609" t="str">
        <f t="shared" si="102"/>
        <v/>
      </c>
      <c r="BC450" s="609" t="str">
        <f t="shared" si="101"/>
        <v/>
      </c>
      <c r="BD450" s="609" t="str">
        <f t="shared" si="101"/>
        <v/>
      </c>
      <c r="BE450" s="609" t="str">
        <f t="shared" si="101"/>
        <v/>
      </c>
      <c r="BF450" s="609" t="str">
        <f t="shared" si="101"/>
        <v/>
      </c>
      <c r="BG450" s="609" t="str">
        <f t="shared" si="101"/>
        <v/>
      </c>
    </row>
    <row r="451" spans="2:59" x14ac:dyDescent="0.25">
      <c r="B451" s="654">
        <v>445</v>
      </c>
      <c r="C451" s="654"/>
      <c r="D451" s="654"/>
      <c r="E451" s="655"/>
      <c r="F451" s="654"/>
      <c r="H451" s="609" t="str">
        <f t="shared" si="100"/>
        <v/>
      </c>
      <c r="I451" s="609" t="str">
        <f t="shared" si="100"/>
        <v/>
      </c>
      <c r="J451" s="609" t="str">
        <f t="shared" si="100"/>
        <v/>
      </c>
      <c r="K451" s="609" t="str">
        <f t="shared" si="100"/>
        <v/>
      </c>
      <c r="L451" s="609" t="str">
        <f t="shared" si="100"/>
        <v/>
      </c>
      <c r="M451" s="609" t="str">
        <f t="shared" si="100"/>
        <v/>
      </c>
      <c r="N451" s="609" t="str">
        <f t="shared" si="100"/>
        <v/>
      </c>
      <c r="O451" s="609" t="str">
        <f t="shared" si="100"/>
        <v/>
      </c>
      <c r="P451" s="609" t="str">
        <f t="shared" si="100"/>
        <v/>
      </c>
      <c r="Q451" s="609" t="str">
        <f t="shared" si="100"/>
        <v/>
      </c>
      <c r="R451" s="609" t="str">
        <f t="shared" si="100"/>
        <v/>
      </c>
      <c r="S451" s="609" t="str">
        <f t="shared" si="100"/>
        <v/>
      </c>
      <c r="T451" s="609" t="str">
        <f t="shared" si="100"/>
        <v/>
      </c>
      <c r="U451" s="609" t="str">
        <f t="shared" si="100"/>
        <v/>
      </c>
      <c r="V451" s="609" t="str">
        <f t="shared" si="100"/>
        <v/>
      </c>
      <c r="W451" s="609" t="str">
        <f t="shared" si="100"/>
        <v/>
      </c>
      <c r="X451" s="609" t="str">
        <f t="shared" si="99"/>
        <v/>
      </c>
      <c r="Y451" s="609" t="str">
        <f t="shared" si="99"/>
        <v/>
      </c>
      <c r="Z451" s="609" t="str">
        <f t="shared" si="99"/>
        <v/>
      </c>
      <c r="AA451" s="609" t="str">
        <f t="shared" si="99"/>
        <v/>
      </c>
      <c r="AB451" s="609" t="str">
        <f t="shared" si="99"/>
        <v/>
      </c>
      <c r="AC451" s="609" t="str">
        <f t="shared" si="99"/>
        <v/>
      </c>
      <c r="AD451" s="609" t="str">
        <f t="shared" si="99"/>
        <v/>
      </c>
      <c r="AE451" s="609" t="str">
        <f t="shared" si="99"/>
        <v/>
      </c>
      <c r="AF451" s="609" t="str">
        <f t="shared" si="99"/>
        <v/>
      </c>
      <c r="AG451" s="609" t="str">
        <f t="shared" si="99"/>
        <v/>
      </c>
      <c r="AH451" s="609" t="str">
        <f t="shared" si="99"/>
        <v/>
      </c>
      <c r="AI451" s="609" t="str">
        <f t="shared" si="99"/>
        <v/>
      </c>
      <c r="AJ451" s="609" t="str">
        <f t="shared" si="99"/>
        <v/>
      </c>
      <c r="AK451" s="609" t="str">
        <f t="shared" si="99"/>
        <v/>
      </c>
      <c r="AL451" s="609" t="str">
        <f t="shared" si="99"/>
        <v/>
      </c>
      <c r="AM451" s="609" t="str">
        <f t="shared" si="102"/>
        <v/>
      </c>
      <c r="AN451" s="609" t="str">
        <f t="shared" si="102"/>
        <v/>
      </c>
      <c r="AO451" s="609" t="str">
        <f t="shared" si="102"/>
        <v/>
      </c>
      <c r="AP451" s="609" t="str">
        <f t="shared" si="102"/>
        <v/>
      </c>
      <c r="AQ451" s="609" t="str">
        <f t="shared" si="102"/>
        <v/>
      </c>
      <c r="AR451" s="609" t="str">
        <f t="shared" si="102"/>
        <v/>
      </c>
      <c r="AS451" s="609" t="str">
        <f t="shared" si="102"/>
        <v/>
      </c>
      <c r="AT451" s="609" t="str">
        <f t="shared" si="102"/>
        <v/>
      </c>
      <c r="AU451" s="609" t="str">
        <f t="shared" si="102"/>
        <v/>
      </c>
      <c r="AV451" s="609" t="str">
        <f t="shared" si="102"/>
        <v/>
      </c>
      <c r="AW451" s="609" t="str">
        <f t="shared" si="102"/>
        <v/>
      </c>
      <c r="AX451" s="609" t="str">
        <f t="shared" si="102"/>
        <v/>
      </c>
      <c r="AY451" s="609" t="str">
        <f t="shared" si="102"/>
        <v/>
      </c>
      <c r="AZ451" s="609" t="str">
        <f t="shared" si="102"/>
        <v/>
      </c>
      <c r="BA451" s="609" t="str">
        <f t="shared" si="102"/>
        <v/>
      </c>
      <c r="BB451" s="609" t="str">
        <f t="shared" si="102"/>
        <v/>
      </c>
      <c r="BC451" s="609" t="str">
        <f t="shared" si="101"/>
        <v/>
      </c>
      <c r="BD451" s="609" t="str">
        <f t="shared" si="101"/>
        <v/>
      </c>
      <c r="BE451" s="609" t="str">
        <f t="shared" si="101"/>
        <v/>
      </c>
      <c r="BF451" s="609" t="str">
        <f t="shared" si="101"/>
        <v/>
      </c>
      <c r="BG451" s="609" t="str">
        <f t="shared" si="101"/>
        <v/>
      </c>
    </row>
    <row r="452" spans="2:59" x14ac:dyDescent="0.25">
      <c r="B452" s="654">
        <v>446</v>
      </c>
      <c r="C452" s="654"/>
      <c r="D452" s="654"/>
      <c r="E452" s="655"/>
      <c r="F452" s="654"/>
      <c r="H452" s="609" t="str">
        <f t="shared" si="100"/>
        <v/>
      </c>
      <c r="I452" s="609" t="str">
        <f t="shared" si="100"/>
        <v/>
      </c>
      <c r="J452" s="609" t="str">
        <f t="shared" si="100"/>
        <v/>
      </c>
      <c r="K452" s="609" t="str">
        <f t="shared" si="100"/>
        <v/>
      </c>
      <c r="L452" s="609" t="str">
        <f t="shared" si="100"/>
        <v/>
      </c>
      <c r="M452" s="609" t="str">
        <f t="shared" si="100"/>
        <v/>
      </c>
      <c r="N452" s="609" t="str">
        <f t="shared" si="100"/>
        <v/>
      </c>
      <c r="O452" s="609" t="str">
        <f t="shared" si="100"/>
        <v/>
      </c>
      <c r="P452" s="609" t="str">
        <f t="shared" si="100"/>
        <v/>
      </c>
      <c r="Q452" s="609" t="str">
        <f t="shared" si="100"/>
        <v/>
      </c>
      <c r="R452" s="609" t="str">
        <f t="shared" si="100"/>
        <v/>
      </c>
      <c r="S452" s="609" t="str">
        <f t="shared" si="100"/>
        <v/>
      </c>
      <c r="T452" s="609" t="str">
        <f t="shared" si="100"/>
        <v/>
      </c>
      <c r="U452" s="609" t="str">
        <f t="shared" si="100"/>
        <v/>
      </c>
      <c r="V452" s="609" t="str">
        <f t="shared" si="100"/>
        <v/>
      </c>
      <c r="W452" s="609" t="str">
        <f t="shared" si="100"/>
        <v/>
      </c>
      <c r="X452" s="609" t="str">
        <f t="shared" si="99"/>
        <v/>
      </c>
      <c r="Y452" s="609" t="str">
        <f t="shared" si="99"/>
        <v/>
      </c>
      <c r="Z452" s="609" t="str">
        <f t="shared" si="99"/>
        <v/>
      </c>
      <c r="AA452" s="609" t="str">
        <f t="shared" si="99"/>
        <v/>
      </c>
      <c r="AB452" s="609" t="str">
        <f t="shared" si="99"/>
        <v/>
      </c>
      <c r="AC452" s="609" t="str">
        <f t="shared" si="99"/>
        <v/>
      </c>
      <c r="AD452" s="609" t="str">
        <f t="shared" si="99"/>
        <v/>
      </c>
      <c r="AE452" s="609" t="str">
        <f t="shared" si="99"/>
        <v/>
      </c>
      <c r="AF452" s="609" t="str">
        <f t="shared" si="99"/>
        <v/>
      </c>
      <c r="AG452" s="609" t="str">
        <f t="shared" si="99"/>
        <v/>
      </c>
      <c r="AH452" s="609" t="str">
        <f t="shared" si="99"/>
        <v/>
      </c>
      <c r="AI452" s="609" t="str">
        <f t="shared" si="99"/>
        <v/>
      </c>
      <c r="AJ452" s="609" t="str">
        <f t="shared" si="99"/>
        <v/>
      </c>
      <c r="AK452" s="609" t="str">
        <f t="shared" si="99"/>
        <v/>
      </c>
      <c r="AL452" s="609" t="str">
        <f t="shared" si="99"/>
        <v/>
      </c>
      <c r="AM452" s="609" t="str">
        <f t="shared" si="102"/>
        <v/>
      </c>
      <c r="AN452" s="609" t="str">
        <f t="shared" si="102"/>
        <v/>
      </c>
      <c r="AO452" s="609" t="str">
        <f t="shared" si="102"/>
        <v/>
      </c>
      <c r="AP452" s="609" t="str">
        <f t="shared" si="102"/>
        <v/>
      </c>
      <c r="AQ452" s="609" t="str">
        <f t="shared" si="102"/>
        <v/>
      </c>
      <c r="AR452" s="609" t="str">
        <f t="shared" si="102"/>
        <v/>
      </c>
      <c r="AS452" s="609" t="str">
        <f t="shared" si="102"/>
        <v/>
      </c>
      <c r="AT452" s="609" t="str">
        <f t="shared" si="102"/>
        <v/>
      </c>
      <c r="AU452" s="609" t="str">
        <f t="shared" si="102"/>
        <v/>
      </c>
      <c r="AV452" s="609" t="str">
        <f t="shared" si="102"/>
        <v/>
      </c>
      <c r="AW452" s="609" t="str">
        <f t="shared" si="102"/>
        <v/>
      </c>
      <c r="AX452" s="609" t="str">
        <f t="shared" si="102"/>
        <v/>
      </c>
      <c r="AY452" s="609" t="str">
        <f t="shared" si="102"/>
        <v/>
      </c>
      <c r="AZ452" s="609" t="str">
        <f t="shared" si="102"/>
        <v/>
      </c>
      <c r="BA452" s="609" t="str">
        <f t="shared" si="102"/>
        <v/>
      </c>
      <c r="BB452" s="609" t="str">
        <f t="shared" si="102"/>
        <v/>
      </c>
      <c r="BC452" s="609" t="str">
        <f t="shared" si="101"/>
        <v/>
      </c>
      <c r="BD452" s="609" t="str">
        <f t="shared" si="101"/>
        <v/>
      </c>
      <c r="BE452" s="609" t="str">
        <f t="shared" si="101"/>
        <v/>
      </c>
      <c r="BF452" s="609" t="str">
        <f t="shared" si="101"/>
        <v/>
      </c>
      <c r="BG452" s="609" t="str">
        <f t="shared" si="101"/>
        <v/>
      </c>
    </row>
    <row r="453" spans="2:59" x14ac:dyDescent="0.25">
      <c r="B453" s="654">
        <v>447</v>
      </c>
      <c r="C453" s="654"/>
      <c r="D453" s="654"/>
      <c r="E453" s="655"/>
      <c r="F453" s="654"/>
      <c r="H453" s="609" t="str">
        <f t="shared" si="100"/>
        <v/>
      </c>
      <c r="I453" s="609" t="str">
        <f t="shared" si="100"/>
        <v/>
      </c>
      <c r="J453" s="609" t="str">
        <f t="shared" si="100"/>
        <v/>
      </c>
      <c r="K453" s="609" t="str">
        <f t="shared" si="100"/>
        <v/>
      </c>
      <c r="L453" s="609" t="str">
        <f t="shared" si="100"/>
        <v/>
      </c>
      <c r="M453" s="609" t="str">
        <f t="shared" si="100"/>
        <v/>
      </c>
      <c r="N453" s="609" t="str">
        <f t="shared" si="100"/>
        <v/>
      </c>
      <c r="O453" s="609" t="str">
        <f t="shared" si="100"/>
        <v/>
      </c>
      <c r="P453" s="609" t="str">
        <f t="shared" si="100"/>
        <v/>
      </c>
      <c r="Q453" s="609" t="str">
        <f t="shared" si="100"/>
        <v/>
      </c>
      <c r="R453" s="609" t="str">
        <f t="shared" si="100"/>
        <v/>
      </c>
      <c r="S453" s="609" t="str">
        <f t="shared" si="100"/>
        <v/>
      </c>
      <c r="T453" s="609" t="str">
        <f t="shared" si="100"/>
        <v/>
      </c>
      <c r="U453" s="609" t="str">
        <f t="shared" si="100"/>
        <v/>
      </c>
      <c r="V453" s="609" t="str">
        <f t="shared" si="100"/>
        <v/>
      </c>
      <c r="W453" s="609" t="str">
        <f t="shared" ref="W453:AL468" si="103">IF($D453=W$6,$B453&amp;", ","")</f>
        <v/>
      </c>
      <c r="X453" s="609" t="str">
        <f t="shared" si="103"/>
        <v/>
      </c>
      <c r="Y453" s="609" t="str">
        <f t="shared" si="103"/>
        <v/>
      </c>
      <c r="Z453" s="609" t="str">
        <f t="shared" si="103"/>
        <v/>
      </c>
      <c r="AA453" s="609" t="str">
        <f t="shared" si="103"/>
        <v/>
      </c>
      <c r="AB453" s="609" t="str">
        <f t="shared" si="103"/>
        <v/>
      </c>
      <c r="AC453" s="609" t="str">
        <f t="shared" si="103"/>
        <v/>
      </c>
      <c r="AD453" s="609" t="str">
        <f t="shared" si="103"/>
        <v/>
      </c>
      <c r="AE453" s="609" t="str">
        <f t="shared" si="103"/>
        <v/>
      </c>
      <c r="AF453" s="609" t="str">
        <f t="shared" si="103"/>
        <v/>
      </c>
      <c r="AG453" s="609" t="str">
        <f t="shared" si="103"/>
        <v/>
      </c>
      <c r="AH453" s="609" t="str">
        <f t="shared" si="103"/>
        <v/>
      </c>
      <c r="AI453" s="609" t="str">
        <f t="shared" si="103"/>
        <v/>
      </c>
      <c r="AJ453" s="609" t="str">
        <f t="shared" si="103"/>
        <v/>
      </c>
      <c r="AK453" s="609" t="str">
        <f t="shared" si="103"/>
        <v/>
      </c>
      <c r="AL453" s="609" t="str">
        <f t="shared" si="103"/>
        <v/>
      </c>
      <c r="AM453" s="609" t="str">
        <f t="shared" si="102"/>
        <v/>
      </c>
      <c r="AN453" s="609" t="str">
        <f t="shared" si="102"/>
        <v/>
      </c>
      <c r="AO453" s="609" t="str">
        <f t="shared" si="102"/>
        <v/>
      </c>
      <c r="AP453" s="609" t="str">
        <f t="shared" si="102"/>
        <v/>
      </c>
      <c r="AQ453" s="609" t="str">
        <f t="shared" si="102"/>
        <v/>
      </c>
      <c r="AR453" s="609" t="str">
        <f t="shared" si="102"/>
        <v/>
      </c>
      <c r="AS453" s="609" t="str">
        <f t="shared" si="102"/>
        <v/>
      </c>
      <c r="AT453" s="609" t="str">
        <f t="shared" si="102"/>
        <v/>
      </c>
      <c r="AU453" s="609" t="str">
        <f t="shared" si="102"/>
        <v/>
      </c>
      <c r="AV453" s="609" t="str">
        <f t="shared" si="102"/>
        <v/>
      </c>
      <c r="AW453" s="609" t="str">
        <f t="shared" si="102"/>
        <v/>
      </c>
      <c r="AX453" s="609" t="str">
        <f t="shared" si="102"/>
        <v/>
      </c>
      <c r="AY453" s="609" t="str">
        <f t="shared" si="102"/>
        <v/>
      </c>
      <c r="AZ453" s="609" t="str">
        <f t="shared" si="102"/>
        <v/>
      </c>
      <c r="BA453" s="609" t="str">
        <f t="shared" si="102"/>
        <v/>
      </c>
      <c r="BB453" s="609" t="str">
        <f t="shared" si="102"/>
        <v/>
      </c>
      <c r="BC453" s="609" t="str">
        <f t="shared" si="101"/>
        <v/>
      </c>
      <c r="BD453" s="609" t="str">
        <f t="shared" si="101"/>
        <v/>
      </c>
      <c r="BE453" s="609" t="str">
        <f t="shared" si="101"/>
        <v/>
      </c>
      <c r="BF453" s="609" t="str">
        <f t="shared" si="101"/>
        <v/>
      </c>
      <c r="BG453" s="609" t="str">
        <f t="shared" si="101"/>
        <v/>
      </c>
    </row>
    <row r="454" spans="2:59" x14ac:dyDescent="0.25">
      <c r="B454" s="654">
        <v>448</v>
      </c>
      <c r="C454" s="654"/>
      <c r="D454" s="654"/>
      <c r="E454" s="655"/>
      <c r="F454" s="654"/>
      <c r="H454" s="609" t="str">
        <f t="shared" ref="H454:W469" si="104">IF($D454=H$6,$B454&amp;", ","")</f>
        <v/>
      </c>
      <c r="I454" s="609" t="str">
        <f t="shared" si="104"/>
        <v/>
      </c>
      <c r="J454" s="609" t="str">
        <f t="shared" si="104"/>
        <v/>
      </c>
      <c r="K454" s="609" t="str">
        <f t="shared" si="104"/>
        <v/>
      </c>
      <c r="L454" s="609" t="str">
        <f t="shared" si="104"/>
        <v/>
      </c>
      <c r="M454" s="609" t="str">
        <f t="shared" si="104"/>
        <v/>
      </c>
      <c r="N454" s="609" t="str">
        <f t="shared" si="104"/>
        <v/>
      </c>
      <c r="O454" s="609" t="str">
        <f t="shared" si="104"/>
        <v/>
      </c>
      <c r="P454" s="609" t="str">
        <f t="shared" si="104"/>
        <v/>
      </c>
      <c r="Q454" s="609" t="str">
        <f t="shared" si="104"/>
        <v/>
      </c>
      <c r="R454" s="609" t="str">
        <f t="shared" si="104"/>
        <v/>
      </c>
      <c r="S454" s="609" t="str">
        <f t="shared" si="104"/>
        <v/>
      </c>
      <c r="T454" s="609" t="str">
        <f t="shared" si="104"/>
        <v/>
      </c>
      <c r="U454" s="609" t="str">
        <f t="shared" si="104"/>
        <v/>
      </c>
      <c r="V454" s="609" t="str">
        <f t="shared" si="104"/>
        <v/>
      </c>
      <c r="W454" s="609" t="str">
        <f t="shared" si="104"/>
        <v/>
      </c>
      <c r="X454" s="609" t="str">
        <f t="shared" si="103"/>
        <v/>
      </c>
      <c r="Y454" s="609" t="str">
        <f t="shared" si="103"/>
        <v/>
      </c>
      <c r="Z454" s="609" t="str">
        <f t="shared" si="103"/>
        <v/>
      </c>
      <c r="AA454" s="609" t="str">
        <f t="shared" si="103"/>
        <v/>
      </c>
      <c r="AB454" s="609" t="str">
        <f t="shared" si="103"/>
        <v/>
      </c>
      <c r="AC454" s="609" t="str">
        <f t="shared" si="103"/>
        <v/>
      </c>
      <c r="AD454" s="609" t="str">
        <f t="shared" si="103"/>
        <v/>
      </c>
      <c r="AE454" s="609" t="str">
        <f t="shared" si="103"/>
        <v/>
      </c>
      <c r="AF454" s="609" t="str">
        <f t="shared" si="103"/>
        <v/>
      </c>
      <c r="AG454" s="609" t="str">
        <f t="shared" si="103"/>
        <v/>
      </c>
      <c r="AH454" s="609" t="str">
        <f t="shared" si="103"/>
        <v/>
      </c>
      <c r="AI454" s="609" t="str">
        <f t="shared" si="103"/>
        <v/>
      </c>
      <c r="AJ454" s="609" t="str">
        <f t="shared" si="103"/>
        <v/>
      </c>
      <c r="AK454" s="609" t="str">
        <f t="shared" si="103"/>
        <v/>
      </c>
      <c r="AL454" s="609" t="str">
        <f t="shared" si="103"/>
        <v/>
      </c>
      <c r="AM454" s="609" t="str">
        <f t="shared" si="102"/>
        <v/>
      </c>
      <c r="AN454" s="609" t="str">
        <f t="shared" si="102"/>
        <v/>
      </c>
      <c r="AO454" s="609" t="str">
        <f t="shared" si="102"/>
        <v/>
      </c>
      <c r="AP454" s="609" t="str">
        <f t="shared" si="102"/>
        <v/>
      </c>
      <c r="AQ454" s="609" t="str">
        <f t="shared" si="102"/>
        <v/>
      </c>
      <c r="AR454" s="609" t="str">
        <f t="shared" si="102"/>
        <v/>
      </c>
      <c r="AS454" s="609" t="str">
        <f t="shared" si="102"/>
        <v/>
      </c>
      <c r="AT454" s="609" t="str">
        <f t="shared" si="102"/>
        <v/>
      </c>
      <c r="AU454" s="609" t="str">
        <f t="shared" si="102"/>
        <v/>
      </c>
      <c r="AV454" s="609" t="str">
        <f t="shared" si="102"/>
        <v/>
      </c>
      <c r="AW454" s="609" t="str">
        <f t="shared" si="102"/>
        <v/>
      </c>
      <c r="AX454" s="609" t="str">
        <f t="shared" si="102"/>
        <v/>
      </c>
      <c r="AY454" s="609" t="str">
        <f t="shared" si="102"/>
        <v/>
      </c>
      <c r="AZ454" s="609" t="str">
        <f t="shared" si="102"/>
        <v/>
      </c>
      <c r="BA454" s="609" t="str">
        <f t="shared" si="102"/>
        <v/>
      </c>
      <c r="BB454" s="609" t="str">
        <f t="shared" si="102"/>
        <v/>
      </c>
      <c r="BC454" s="609" t="str">
        <f t="shared" si="101"/>
        <v/>
      </c>
      <c r="BD454" s="609" t="str">
        <f t="shared" si="101"/>
        <v/>
      </c>
      <c r="BE454" s="609" t="str">
        <f t="shared" si="101"/>
        <v/>
      </c>
      <c r="BF454" s="609" t="str">
        <f t="shared" si="101"/>
        <v/>
      </c>
      <c r="BG454" s="609" t="str">
        <f t="shared" si="101"/>
        <v/>
      </c>
    </row>
    <row r="455" spans="2:59" x14ac:dyDescent="0.25">
      <c r="B455" s="654">
        <v>449</v>
      </c>
      <c r="C455" s="654"/>
      <c r="D455" s="654"/>
      <c r="E455" s="655"/>
      <c r="F455" s="654"/>
      <c r="H455" s="609" t="str">
        <f t="shared" si="104"/>
        <v/>
      </c>
      <c r="I455" s="609" t="str">
        <f t="shared" si="104"/>
        <v/>
      </c>
      <c r="J455" s="609" t="str">
        <f t="shared" si="104"/>
        <v/>
      </c>
      <c r="K455" s="609" t="str">
        <f t="shared" si="104"/>
        <v/>
      </c>
      <c r="L455" s="609" t="str">
        <f t="shared" si="104"/>
        <v/>
      </c>
      <c r="M455" s="609" t="str">
        <f t="shared" si="104"/>
        <v/>
      </c>
      <c r="N455" s="609" t="str">
        <f t="shared" si="104"/>
        <v/>
      </c>
      <c r="O455" s="609" t="str">
        <f t="shared" si="104"/>
        <v/>
      </c>
      <c r="P455" s="609" t="str">
        <f t="shared" si="104"/>
        <v/>
      </c>
      <c r="Q455" s="609" t="str">
        <f t="shared" si="104"/>
        <v/>
      </c>
      <c r="R455" s="609" t="str">
        <f t="shared" si="104"/>
        <v/>
      </c>
      <c r="S455" s="609" t="str">
        <f t="shared" si="104"/>
        <v/>
      </c>
      <c r="T455" s="609" t="str">
        <f t="shared" si="104"/>
        <v/>
      </c>
      <c r="U455" s="609" t="str">
        <f t="shared" si="104"/>
        <v/>
      </c>
      <c r="V455" s="609" t="str">
        <f t="shared" si="104"/>
        <v/>
      </c>
      <c r="W455" s="609" t="str">
        <f t="shared" si="104"/>
        <v/>
      </c>
      <c r="X455" s="609" t="str">
        <f t="shared" si="103"/>
        <v/>
      </c>
      <c r="Y455" s="609" t="str">
        <f t="shared" si="103"/>
        <v/>
      </c>
      <c r="Z455" s="609" t="str">
        <f t="shared" si="103"/>
        <v/>
      </c>
      <c r="AA455" s="609" t="str">
        <f t="shared" si="103"/>
        <v/>
      </c>
      <c r="AB455" s="609" t="str">
        <f t="shared" si="103"/>
        <v/>
      </c>
      <c r="AC455" s="609" t="str">
        <f t="shared" si="103"/>
        <v/>
      </c>
      <c r="AD455" s="609" t="str">
        <f t="shared" si="103"/>
        <v/>
      </c>
      <c r="AE455" s="609" t="str">
        <f t="shared" si="103"/>
        <v/>
      </c>
      <c r="AF455" s="609" t="str">
        <f t="shared" si="103"/>
        <v/>
      </c>
      <c r="AG455" s="609" t="str">
        <f t="shared" si="103"/>
        <v/>
      </c>
      <c r="AH455" s="609" t="str">
        <f t="shared" si="103"/>
        <v/>
      </c>
      <c r="AI455" s="609" t="str">
        <f t="shared" si="103"/>
        <v/>
      </c>
      <c r="AJ455" s="609" t="str">
        <f t="shared" si="103"/>
        <v/>
      </c>
      <c r="AK455" s="609" t="str">
        <f t="shared" si="103"/>
        <v/>
      </c>
      <c r="AL455" s="609" t="str">
        <f t="shared" si="103"/>
        <v/>
      </c>
      <c r="AM455" s="609" t="str">
        <f t="shared" si="102"/>
        <v/>
      </c>
      <c r="AN455" s="609" t="str">
        <f t="shared" si="102"/>
        <v/>
      </c>
      <c r="AO455" s="609" t="str">
        <f t="shared" si="102"/>
        <v/>
      </c>
      <c r="AP455" s="609" t="str">
        <f t="shared" si="102"/>
        <v/>
      </c>
      <c r="AQ455" s="609" t="str">
        <f t="shared" si="102"/>
        <v/>
      </c>
      <c r="AR455" s="609" t="str">
        <f t="shared" si="102"/>
        <v/>
      </c>
      <c r="AS455" s="609" t="str">
        <f t="shared" si="102"/>
        <v/>
      </c>
      <c r="AT455" s="609" t="str">
        <f t="shared" si="102"/>
        <v/>
      </c>
      <c r="AU455" s="609" t="str">
        <f t="shared" si="102"/>
        <v/>
      </c>
      <c r="AV455" s="609" t="str">
        <f t="shared" si="102"/>
        <v/>
      </c>
      <c r="AW455" s="609" t="str">
        <f t="shared" si="102"/>
        <v/>
      </c>
      <c r="AX455" s="609" t="str">
        <f t="shared" si="102"/>
        <v/>
      </c>
      <c r="AY455" s="609" t="str">
        <f t="shared" si="102"/>
        <v/>
      </c>
      <c r="AZ455" s="609" t="str">
        <f t="shared" si="102"/>
        <v/>
      </c>
      <c r="BA455" s="609" t="str">
        <f t="shared" si="102"/>
        <v/>
      </c>
      <c r="BB455" s="609" t="str">
        <f t="shared" si="102"/>
        <v/>
      </c>
      <c r="BC455" s="609" t="str">
        <f t="shared" si="101"/>
        <v/>
      </c>
      <c r="BD455" s="609" t="str">
        <f t="shared" si="101"/>
        <v/>
      </c>
      <c r="BE455" s="609" t="str">
        <f t="shared" si="101"/>
        <v/>
      </c>
      <c r="BF455" s="609" t="str">
        <f t="shared" si="101"/>
        <v/>
      </c>
      <c r="BG455" s="609" t="str">
        <f t="shared" si="101"/>
        <v/>
      </c>
    </row>
    <row r="456" spans="2:59" x14ac:dyDescent="0.25">
      <c r="B456" s="654">
        <v>450</v>
      </c>
      <c r="C456" s="654"/>
      <c r="D456" s="654"/>
      <c r="E456" s="655"/>
      <c r="F456" s="654"/>
      <c r="H456" s="609" t="str">
        <f t="shared" si="104"/>
        <v/>
      </c>
      <c r="I456" s="609" t="str">
        <f t="shared" si="104"/>
        <v/>
      </c>
      <c r="J456" s="609" t="str">
        <f t="shared" si="104"/>
        <v/>
      </c>
      <c r="K456" s="609" t="str">
        <f t="shared" si="104"/>
        <v/>
      </c>
      <c r="L456" s="609" t="str">
        <f t="shared" si="104"/>
        <v/>
      </c>
      <c r="M456" s="609" t="str">
        <f t="shared" si="104"/>
        <v/>
      </c>
      <c r="N456" s="609" t="str">
        <f t="shared" si="104"/>
        <v/>
      </c>
      <c r="O456" s="609" t="str">
        <f t="shared" si="104"/>
        <v/>
      </c>
      <c r="P456" s="609" t="str">
        <f t="shared" si="104"/>
        <v/>
      </c>
      <c r="Q456" s="609" t="str">
        <f t="shared" si="104"/>
        <v/>
      </c>
      <c r="R456" s="609" t="str">
        <f t="shared" si="104"/>
        <v/>
      </c>
      <c r="S456" s="609" t="str">
        <f t="shared" si="104"/>
        <v/>
      </c>
      <c r="T456" s="609" t="str">
        <f t="shared" si="104"/>
        <v/>
      </c>
      <c r="U456" s="609" t="str">
        <f t="shared" si="104"/>
        <v/>
      </c>
      <c r="V456" s="609" t="str">
        <f t="shared" si="104"/>
        <v/>
      </c>
      <c r="W456" s="609" t="str">
        <f t="shared" si="104"/>
        <v/>
      </c>
      <c r="X456" s="609" t="str">
        <f t="shared" si="103"/>
        <v/>
      </c>
      <c r="Y456" s="609" t="str">
        <f t="shared" si="103"/>
        <v/>
      </c>
      <c r="Z456" s="609" t="str">
        <f t="shared" si="103"/>
        <v/>
      </c>
      <c r="AA456" s="609" t="str">
        <f t="shared" si="103"/>
        <v/>
      </c>
      <c r="AB456" s="609" t="str">
        <f t="shared" si="103"/>
        <v/>
      </c>
      <c r="AC456" s="609" t="str">
        <f t="shared" si="103"/>
        <v/>
      </c>
      <c r="AD456" s="609" t="str">
        <f t="shared" si="103"/>
        <v/>
      </c>
      <c r="AE456" s="609" t="str">
        <f t="shared" si="103"/>
        <v/>
      </c>
      <c r="AF456" s="609" t="str">
        <f t="shared" si="103"/>
        <v/>
      </c>
      <c r="AG456" s="609" t="str">
        <f t="shared" si="103"/>
        <v/>
      </c>
      <c r="AH456" s="609" t="str">
        <f t="shared" si="103"/>
        <v/>
      </c>
      <c r="AI456" s="609" t="str">
        <f t="shared" si="103"/>
        <v/>
      </c>
      <c r="AJ456" s="609" t="str">
        <f t="shared" si="103"/>
        <v/>
      </c>
      <c r="AK456" s="609" t="str">
        <f t="shared" si="103"/>
        <v/>
      </c>
      <c r="AL456" s="609" t="str">
        <f t="shared" si="103"/>
        <v/>
      </c>
      <c r="AM456" s="609" t="str">
        <f t="shared" si="102"/>
        <v/>
      </c>
      <c r="AN456" s="609" t="str">
        <f t="shared" si="102"/>
        <v/>
      </c>
      <c r="AO456" s="609" t="str">
        <f t="shared" si="102"/>
        <v/>
      </c>
      <c r="AP456" s="609" t="str">
        <f t="shared" si="102"/>
        <v/>
      </c>
      <c r="AQ456" s="609" t="str">
        <f t="shared" si="102"/>
        <v/>
      </c>
      <c r="AR456" s="609" t="str">
        <f t="shared" si="102"/>
        <v/>
      </c>
      <c r="AS456" s="609" t="str">
        <f t="shared" si="102"/>
        <v/>
      </c>
      <c r="AT456" s="609" t="str">
        <f t="shared" si="102"/>
        <v/>
      </c>
      <c r="AU456" s="609" t="str">
        <f t="shared" si="102"/>
        <v/>
      </c>
      <c r="AV456" s="609" t="str">
        <f t="shared" si="102"/>
        <v/>
      </c>
      <c r="AW456" s="609" t="str">
        <f t="shared" si="102"/>
        <v/>
      </c>
      <c r="AX456" s="609" t="str">
        <f t="shared" si="102"/>
        <v/>
      </c>
      <c r="AY456" s="609" t="str">
        <f t="shared" si="102"/>
        <v/>
      </c>
      <c r="AZ456" s="609" t="str">
        <f t="shared" si="102"/>
        <v/>
      </c>
      <c r="BA456" s="609" t="str">
        <f t="shared" si="102"/>
        <v/>
      </c>
      <c r="BB456" s="609" t="str">
        <f t="shared" si="102"/>
        <v/>
      </c>
      <c r="BC456" s="609" t="str">
        <f t="shared" si="101"/>
        <v/>
      </c>
      <c r="BD456" s="609" t="str">
        <f t="shared" si="101"/>
        <v/>
      </c>
      <c r="BE456" s="609" t="str">
        <f t="shared" si="101"/>
        <v/>
      </c>
      <c r="BF456" s="609" t="str">
        <f t="shared" si="101"/>
        <v/>
      </c>
      <c r="BG456" s="609" t="str">
        <f t="shared" si="101"/>
        <v/>
      </c>
    </row>
    <row r="457" spans="2:59" x14ac:dyDescent="0.25">
      <c r="B457" s="654">
        <v>451</v>
      </c>
      <c r="C457" s="654"/>
      <c r="D457" s="654"/>
      <c r="E457" s="655"/>
      <c r="F457" s="654"/>
      <c r="H457" s="609" t="str">
        <f t="shared" si="104"/>
        <v/>
      </c>
      <c r="I457" s="609" t="str">
        <f t="shared" si="104"/>
        <v/>
      </c>
      <c r="J457" s="609" t="str">
        <f t="shared" si="104"/>
        <v/>
      </c>
      <c r="K457" s="609" t="str">
        <f t="shared" si="104"/>
        <v/>
      </c>
      <c r="L457" s="609" t="str">
        <f t="shared" si="104"/>
        <v/>
      </c>
      <c r="M457" s="609" t="str">
        <f t="shared" si="104"/>
        <v/>
      </c>
      <c r="N457" s="609" t="str">
        <f t="shared" si="104"/>
        <v/>
      </c>
      <c r="O457" s="609" t="str">
        <f t="shared" si="104"/>
        <v/>
      </c>
      <c r="P457" s="609" t="str">
        <f t="shared" si="104"/>
        <v/>
      </c>
      <c r="Q457" s="609" t="str">
        <f t="shared" si="104"/>
        <v/>
      </c>
      <c r="R457" s="609" t="str">
        <f t="shared" si="104"/>
        <v/>
      </c>
      <c r="S457" s="609" t="str">
        <f t="shared" si="104"/>
        <v/>
      </c>
      <c r="T457" s="609" t="str">
        <f t="shared" si="104"/>
        <v/>
      </c>
      <c r="U457" s="609" t="str">
        <f t="shared" si="104"/>
        <v/>
      </c>
      <c r="V457" s="609" t="str">
        <f t="shared" si="104"/>
        <v/>
      </c>
      <c r="W457" s="609" t="str">
        <f t="shared" si="104"/>
        <v/>
      </c>
      <c r="X457" s="609" t="str">
        <f t="shared" si="103"/>
        <v/>
      </c>
      <c r="Y457" s="609" t="str">
        <f t="shared" si="103"/>
        <v/>
      </c>
      <c r="Z457" s="609" t="str">
        <f t="shared" si="103"/>
        <v/>
      </c>
      <c r="AA457" s="609" t="str">
        <f t="shared" si="103"/>
        <v/>
      </c>
      <c r="AB457" s="609" t="str">
        <f t="shared" si="103"/>
        <v/>
      </c>
      <c r="AC457" s="609" t="str">
        <f t="shared" si="103"/>
        <v/>
      </c>
      <c r="AD457" s="609" t="str">
        <f t="shared" si="103"/>
        <v/>
      </c>
      <c r="AE457" s="609" t="str">
        <f t="shared" si="103"/>
        <v/>
      </c>
      <c r="AF457" s="609" t="str">
        <f t="shared" si="103"/>
        <v/>
      </c>
      <c r="AG457" s="609" t="str">
        <f t="shared" si="103"/>
        <v/>
      </c>
      <c r="AH457" s="609" t="str">
        <f t="shared" si="103"/>
        <v/>
      </c>
      <c r="AI457" s="609" t="str">
        <f t="shared" si="103"/>
        <v/>
      </c>
      <c r="AJ457" s="609" t="str">
        <f t="shared" si="103"/>
        <v/>
      </c>
      <c r="AK457" s="609" t="str">
        <f t="shared" si="103"/>
        <v/>
      </c>
      <c r="AL457" s="609" t="str">
        <f t="shared" si="103"/>
        <v/>
      </c>
      <c r="AM457" s="609" t="str">
        <f t="shared" si="102"/>
        <v/>
      </c>
      <c r="AN457" s="609" t="str">
        <f t="shared" si="102"/>
        <v/>
      </c>
      <c r="AO457" s="609" t="str">
        <f t="shared" si="102"/>
        <v/>
      </c>
      <c r="AP457" s="609" t="str">
        <f t="shared" si="102"/>
        <v/>
      </c>
      <c r="AQ457" s="609" t="str">
        <f t="shared" si="102"/>
        <v/>
      </c>
      <c r="AR457" s="609" t="str">
        <f t="shared" si="102"/>
        <v/>
      </c>
      <c r="AS457" s="609" t="str">
        <f t="shared" si="102"/>
        <v/>
      </c>
      <c r="AT457" s="609" t="str">
        <f t="shared" si="102"/>
        <v/>
      </c>
      <c r="AU457" s="609" t="str">
        <f t="shared" si="102"/>
        <v/>
      </c>
      <c r="AV457" s="609" t="str">
        <f t="shared" si="102"/>
        <v/>
      </c>
      <c r="AW457" s="609" t="str">
        <f t="shared" si="102"/>
        <v/>
      </c>
      <c r="AX457" s="609" t="str">
        <f t="shared" si="102"/>
        <v/>
      </c>
      <c r="AY457" s="609" t="str">
        <f t="shared" si="102"/>
        <v/>
      </c>
      <c r="AZ457" s="609" t="str">
        <f t="shared" si="102"/>
        <v/>
      </c>
      <c r="BA457" s="609" t="str">
        <f t="shared" si="102"/>
        <v/>
      </c>
      <c r="BB457" s="609" t="str">
        <f t="shared" si="102"/>
        <v/>
      </c>
      <c r="BC457" s="609" t="str">
        <f t="shared" si="101"/>
        <v/>
      </c>
      <c r="BD457" s="609" t="str">
        <f t="shared" si="101"/>
        <v/>
      </c>
      <c r="BE457" s="609" t="str">
        <f t="shared" si="101"/>
        <v/>
      </c>
      <c r="BF457" s="609" t="str">
        <f t="shared" si="101"/>
        <v/>
      </c>
      <c r="BG457" s="609" t="str">
        <f t="shared" si="101"/>
        <v/>
      </c>
    </row>
    <row r="458" spans="2:59" x14ac:dyDescent="0.25">
      <c r="B458" s="654">
        <v>452</v>
      </c>
      <c r="C458" s="654"/>
      <c r="D458" s="654"/>
      <c r="E458" s="655"/>
      <c r="F458" s="654"/>
      <c r="H458" s="609" t="str">
        <f t="shared" si="104"/>
        <v/>
      </c>
      <c r="I458" s="609" t="str">
        <f t="shared" si="104"/>
        <v/>
      </c>
      <c r="J458" s="609" t="str">
        <f t="shared" si="104"/>
        <v/>
      </c>
      <c r="K458" s="609" t="str">
        <f t="shared" si="104"/>
        <v/>
      </c>
      <c r="L458" s="609" t="str">
        <f t="shared" si="104"/>
        <v/>
      </c>
      <c r="M458" s="609" t="str">
        <f t="shared" si="104"/>
        <v/>
      </c>
      <c r="N458" s="609" t="str">
        <f t="shared" si="104"/>
        <v/>
      </c>
      <c r="O458" s="609" t="str">
        <f t="shared" si="104"/>
        <v/>
      </c>
      <c r="P458" s="609" t="str">
        <f t="shared" si="104"/>
        <v/>
      </c>
      <c r="Q458" s="609" t="str">
        <f t="shared" si="104"/>
        <v/>
      </c>
      <c r="R458" s="609" t="str">
        <f t="shared" si="104"/>
        <v/>
      </c>
      <c r="S458" s="609" t="str">
        <f t="shared" si="104"/>
        <v/>
      </c>
      <c r="T458" s="609" t="str">
        <f t="shared" si="104"/>
        <v/>
      </c>
      <c r="U458" s="609" t="str">
        <f t="shared" si="104"/>
        <v/>
      </c>
      <c r="V458" s="609" t="str">
        <f t="shared" si="104"/>
        <v/>
      </c>
      <c r="W458" s="609" t="str">
        <f t="shared" si="104"/>
        <v/>
      </c>
      <c r="X458" s="609" t="str">
        <f t="shared" si="103"/>
        <v/>
      </c>
      <c r="Y458" s="609" t="str">
        <f t="shared" si="103"/>
        <v/>
      </c>
      <c r="Z458" s="609" t="str">
        <f t="shared" si="103"/>
        <v/>
      </c>
      <c r="AA458" s="609" t="str">
        <f t="shared" si="103"/>
        <v/>
      </c>
      <c r="AB458" s="609" t="str">
        <f t="shared" si="103"/>
        <v/>
      </c>
      <c r="AC458" s="609" t="str">
        <f t="shared" si="103"/>
        <v/>
      </c>
      <c r="AD458" s="609" t="str">
        <f t="shared" si="103"/>
        <v/>
      </c>
      <c r="AE458" s="609" t="str">
        <f t="shared" si="103"/>
        <v/>
      </c>
      <c r="AF458" s="609" t="str">
        <f t="shared" si="103"/>
        <v/>
      </c>
      <c r="AG458" s="609" t="str">
        <f t="shared" si="103"/>
        <v/>
      </c>
      <c r="AH458" s="609" t="str">
        <f t="shared" si="103"/>
        <v/>
      </c>
      <c r="AI458" s="609" t="str">
        <f t="shared" si="103"/>
        <v/>
      </c>
      <c r="AJ458" s="609" t="str">
        <f t="shared" si="103"/>
        <v/>
      </c>
      <c r="AK458" s="609" t="str">
        <f t="shared" si="103"/>
        <v/>
      </c>
      <c r="AL458" s="609" t="str">
        <f t="shared" si="103"/>
        <v/>
      </c>
      <c r="AM458" s="609" t="str">
        <f t="shared" si="102"/>
        <v/>
      </c>
      <c r="AN458" s="609" t="str">
        <f t="shared" si="102"/>
        <v/>
      </c>
      <c r="AO458" s="609" t="str">
        <f t="shared" si="102"/>
        <v/>
      </c>
      <c r="AP458" s="609" t="str">
        <f t="shared" si="102"/>
        <v/>
      </c>
      <c r="AQ458" s="609" t="str">
        <f t="shared" si="102"/>
        <v/>
      </c>
      <c r="AR458" s="609" t="str">
        <f t="shared" si="102"/>
        <v/>
      </c>
      <c r="AS458" s="609" t="str">
        <f t="shared" si="102"/>
        <v/>
      </c>
      <c r="AT458" s="609" t="str">
        <f t="shared" si="102"/>
        <v/>
      </c>
      <c r="AU458" s="609" t="str">
        <f t="shared" si="102"/>
        <v/>
      </c>
      <c r="AV458" s="609" t="str">
        <f t="shared" si="102"/>
        <v/>
      </c>
      <c r="AW458" s="609" t="str">
        <f t="shared" si="102"/>
        <v/>
      </c>
      <c r="AX458" s="609" t="str">
        <f t="shared" si="102"/>
        <v/>
      </c>
      <c r="AY458" s="609" t="str">
        <f t="shared" si="102"/>
        <v/>
      </c>
      <c r="AZ458" s="609" t="str">
        <f t="shared" si="102"/>
        <v/>
      </c>
      <c r="BA458" s="609" t="str">
        <f t="shared" si="102"/>
        <v/>
      </c>
      <c r="BB458" s="609" t="str">
        <f t="shared" ref="BB458:BG473" si="105">IF($D458=BB$6,$B458&amp;", ","")</f>
        <v/>
      </c>
      <c r="BC458" s="609" t="str">
        <f t="shared" si="105"/>
        <v/>
      </c>
      <c r="BD458" s="609" t="str">
        <f t="shared" si="105"/>
        <v/>
      </c>
      <c r="BE458" s="609" t="str">
        <f t="shared" si="105"/>
        <v/>
      </c>
      <c r="BF458" s="609" t="str">
        <f t="shared" si="105"/>
        <v/>
      </c>
      <c r="BG458" s="609" t="str">
        <f t="shared" si="105"/>
        <v/>
      </c>
    </row>
    <row r="459" spans="2:59" x14ac:dyDescent="0.25">
      <c r="B459" s="654">
        <v>453</v>
      </c>
      <c r="C459" s="654"/>
      <c r="D459" s="654"/>
      <c r="E459" s="655"/>
      <c r="F459" s="654"/>
      <c r="H459" s="609" t="str">
        <f t="shared" si="104"/>
        <v/>
      </c>
      <c r="I459" s="609" t="str">
        <f t="shared" si="104"/>
        <v/>
      </c>
      <c r="J459" s="609" t="str">
        <f t="shared" si="104"/>
        <v/>
      </c>
      <c r="K459" s="609" t="str">
        <f t="shared" si="104"/>
        <v/>
      </c>
      <c r="L459" s="609" t="str">
        <f t="shared" si="104"/>
        <v/>
      </c>
      <c r="M459" s="609" t="str">
        <f t="shared" si="104"/>
        <v/>
      </c>
      <c r="N459" s="609" t="str">
        <f t="shared" si="104"/>
        <v/>
      </c>
      <c r="O459" s="609" t="str">
        <f t="shared" si="104"/>
        <v/>
      </c>
      <c r="P459" s="609" t="str">
        <f t="shared" si="104"/>
        <v/>
      </c>
      <c r="Q459" s="609" t="str">
        <f t="shared" si="104"/>
        <v/>
      </c>
      <c r="R459" s="609" t="str">
        <f t="shared" si="104"/>
        <v/>
      </c>
      <c r="S459" s="609" t="str">
        <f t="shared" si="104"/>
        <v/>
      </c>
      <c r="T459" s="609" t="str">
        <f t="shared" si="104"/>
        <v/>
      </c>
      <c r="U459" s="609" t="str">
        <f t="shared" si="104"/>
        <v/>
      </c>
      <c r="V459" s="609" t="str">
        <f t="shared" si="104"/>
        <v/>
      </c>
      <c r="W459" s="609" t="str">
        <f t="shared" si="104"/>
        <v/>
      </c>
      <c r="X459" s="609" t="str">
        <f t="shared" si="103"/>
        <v/>
      </c>
      <c r="Y459" s="609" t="str">
        <f t="shared" si="103"/>
        <v/>
      </c>
      <c r="Z459" s="609" t="str">
        <f t="shared" si="103"/>
        <v/>
      </c>
      <c r="AA459" s="609" t="str">
        <f t="shared" si="103"/>
        <v/>
      </c>
      <c r="AB459" s="609" t="str">
        <f t="shared" si="103"/>
        <v/>
      </c>
      <c r="AC459" s="609" t="str">
        <f t="shared" si="103"/>
        <v/>
      </c>
      <c r="AD459" s="609" t="str">
        <f t="shared" si="103"/>
        <v/>
      </c>
      <c r="AE459" s="609" t="str">
        <f t="shared" si="103"/>
        <v/>
      </c>
      <c r="AF459" s="609" t="str">
        <f t="shared" si="103"/>
        <v/>
      </c>
      <c r="AG459" s="609" t="str">
        <f t="shared" si="103"/>
        <v/>
      </c>
      <c r="AH459" s="609" t="str">
        <f t="shared" si="103"/>
        <v/>
      </c>
      <c r="AI459" s="609" t="str">
        <f t="shared" si="103"/>
        <v/>
      </c>
      <c r="AJ459" s="609" t="str">
        <f t="shared" si="103"/>
        <v/>
      </c>
      <c r="AK459" s="609" t="str">
        <f t="shared" si="103"/>
        <v/>
      </c>
      <c r="AL459" s="609" t="str">
        <f t="shared" si="103"/>
        <v/>
      </c>
      <c r="AM459" s="609" t="str">
        <f t="shared" ref="AM459:BB474" si="106">IF($D459=AM$6,$B459&amp;", ","")</f>
        <v/>
      </c>
      <c r="AN459" s="609" t="str">
        <f t="shared" si="106"/>
        <v/>
      </c>
      <c r="AO459" s="609" t="str">
        <f t="shared" si="106"/>
        <v/>
      </c>
      <c r="AP459" s="609" t="str">
        <f t="shared" si="106"/>
        <v/>
      </c>
      <c r="AQ459" s="609" t="str">
        <f t="shared" si="106"/>
        <v/>
      </c>
      <c r="AR459" s="609" t="str">
        <f t="shared" si="106"/>
        <v/>
      </c>
      <c r="AS459" s="609" t="str">
        <f t="shared" si="106"/>
        <v/>
      </c>
      <c r="AT459" s="609" t="str">
        <f t="shared" si="106"/>
        <v/>
      </c>
      <c r="AU459" s="609" t="str">
        <f t="shared" si="106"/>
        <v/>
      </c>
      <c r="AV459" s="609" t="str">
        <f t="shared" si="106"/>
        <v/>
      </c>
      <c r="AW459" s="609" t="str">
        <f t="shared" si="106"/>
        <v/>
      </c>
      <c r="AX459" s="609" t="str">
        <f t="shared" si="106"/>
        <v/>
      </c>
      <c r="AY459" s="609" t="str">
        <f t="shared" si="106"/>
        <v/>
      </c>
      <c r="AZ459" s="609" t="str">
        <f t="shared" si="106"/>
        <v/>
      </c>
      <c r="BA459" s="609" t="str">
        <f t="shared" si="106"/>
        <v/>
      </c>
      <c r="BB459" s="609" t="str">
        <f t="shared" si="106"/>
        <v/>
      </c>
      <c r="BC459" s="609" t="str">
        <f t="shared" si="105"/>
        <v/>
      </c>
      <c r="BD459" s="609" t="str">
        <f t="shared" si="105"/>
        <v/>
      </c>
      <c r="BE459" s="609" t="str">
        <f t="shared" si="105"/>
        <v/>
      </c>
      <c r="BF459" s="609" t="str">
        <f t="shared" si="105"/>
        <v/>
      </c>
      <c r="BG459" s="609" t="str">
        <f t="shared" si="105"/>
        <v/>
      </c>
    </row>
    <row r="460" spans="2:59" x14ac:dyDescent="0.25">
      <c r="B460" s="654">
        <v>454</v>
      </c>
      <c r="C460" s="654"/>
      <c r="D460" s="654"/>
      <c r="E460" s="655"/>
      <c r="F460" s="654"/>
      <c r="H460" s="609" t="str">
        <f t="shared" si="104"/>
        <v/>
      </c>
      <c r="I460" s="609" t="str">
        <f t="shared" si="104"/>
        <v/>
      </c>
      <c r="J460" s="609" t="str">
        <f t="shared" si="104"/>
        <v/>
      </c>
      <c r="K460" s="609" t="str">
        <f t="shared" si="104"/>
        <v/>
      </c>
      <c r="L460" s="609" t="str">
        <f t="shared" si="104"/>
        <v/>
      </c>
      <c r="M460" s="609" t="str">
        <f t="shared" si="104"/>
        <v/>
      </c>
      <c r="N460" s="609" t="str">
        <f t="shared" si="104"/>
        <v/>
      </c>
      <c r="O460" s="609" t="str">
        <f t="shared" si="104"/>
        <v/>
      </c>
      <c r="P460" s="609" t="str">
        <f t="shared" si="104"/>
        <v/>
      </c>
      <c r="Q460" s="609" t="str">
        <f t="shared" si="104"/>
        <v/>
      </c>
      <c r="R460" s="609" t="str">
        <f t="shared" si="104"/>
        <v/>
      </c>
      <c r="S460" s="609" t="str">
        <f t="shared" si="104"/>
        <v/>
      </c>
      <c r="T460" s="609" t="str">
        <f t="shared" si="104"/>
        <v/>
      </c>
      <c r="U460" s="609" t="str">
        <f t="shared" si="104"/>
        <v/>
      </c>
      <c r="V460" s="609" t="str">
        <f t="shared" si="104"/>
        <v/>
      </c>
      <c r="W460" s="609" t="str">
        <f t="shared" si="104"/>
        <v/>
      </c>
      <c r="X460" s="609" t="str">
        <f t="shared" si="103"/>
        <v/>
      </c>
      <c r="Y460" s="609" t="str">
        <f t="shared" si="103"/>
        <v/>
      </c>
      <c r="Z460" s="609" t="str">
        <f t="shared" si="103"/>
        <v/>
      </c>
      <c r="AA460" s="609" t="str">
        <f t="shared" si="103"/>
        <v/>
      </c>
      <c r="AB460" s="609" t="str">
        <f t="shared" si="103"/>
        <v/>
      </c>
      <c r="AC460" s="609" t="str">
        <f t="shared" si="103"/>
        <v/>
      </c>
      <c r="AD460" s="609" t="str">
        <f t="shared" si="103"/>
        <v/>
      </c>
      <c r="AE460" s="609" t="str">
        <f t="shared" si="103"/>
        <v/>
      </c>
      <c r="AF460" s="609" t="str">
        <f t="shared" si="103"/>
        <v/>
      </c>
      <c r="AG460" s="609" t="str">
        <f t="shared" si="103"/>
        <v/>
      </c>
      <c r="AH460" s="609" t="str">
        <f t="shared" si="103"/>
        <v/>
      </c>
      <c r="AI460" s="609" t="str">
        <f t="shared" si="103"/>
        <v/>
      </c>
      <c r="AJ460" s="609" t="str">
        <f t="shared" si="103"/>
        <v/>
      </c>
      <c r="AK460" s="609" t="str">
        <f t="shared" si="103"/>
        <v/>
      </c>
      <c r="AL460" s="609" t="str">
        <f t="shared" si="103"/>
        <v/>
      </c>
      <c r="AM460" s="609" t="str">
        <f t="shared" si="106"/>
        <v/>
      </c>
      <c r="AN460" s="609" t="str">
        <f t="shared" si="106"/>
        <v/>
      </c>
      <c r="AO460" s="609" t="str">
        <f t="shared" si="106"/>
        <v/>
      </c>
      <c r="AP460" s="609" t="str">
        <f t="shared" si="106"/>
        <v/>
      </c>
      <c r="AQ460" s="609" t="str">
        <f t="shared" si="106"/>
        <v/>
      </c>
      <c r="AR460" s="609" t="str">
        <f t="shared" si="106"/>
        <v/>
      </c>
      <c r="AS460" s="609" t="str">
        <f t="shared" si="106"/>
        <v/>
      </c>
      <c r="AT460" s="609" t="str">
        <f t="shared" si="106"/>
        <v/>
      </c>
      <c r="AU460" s="609" t="str">
        <f t="shared" si="106"/>
        <v/>
      </c>
      <c r="AV460" s="609" t="str">
        <f t="shared" si="106"/>
        <v/>
      </c>
      <c r="AW460" s="609" t="str">
        <f t="shared" si="106"/>
        <v/>
      </c>
      <c r="AX460" s="609" t="str">
        <f t="shared" si="106"/>
        <v/>
      </c>
      <c r="AY460" s="609" t="str">
        <f t="shared" si="106"/>
        <v/>
      </c>
      <c r="AZ460" s="609" t="str">
        <f t="shared" si="106"/>
        <v/>
      </c>
      <c r="BA460" s="609" t="str">
        <f t="shared" si="106"/>
        <v/>
      </c>
      <c r="BB460" s="609" t="str">
        <f t="shared" si="106"/>
        <v/>
      </c>
      <c r="BC460" s="609" t="str">
        <f t="shared" si="105"/>
        <v/>
      </c>
      <c r="BD460" s="609" t="str">
        <f t="shared" si="105"/>
        <v/>
      </c>
      <c r="BE460" s="609" t="str">
        <f t="shared" si="105"/>
        <v/>
      </c>
      <c r="BF460" s="609" t="str">
        <f t="shared" si="105"/>
        <v/>
      </c>
      <c r="BG460" s="609" t="str">
        <f t="shared" si="105"/>
        <v/>
      </c>
    </row>
    <row r="461" spans="2:59" x14ac:dyDescent="0.25">
      <c r="B461" s="654">
        <v>455</v>
      </c>
      <c r="C461" s="654"/>
      <c r="D461" s="654"/>
      <c r="E461" s="655"/>
      <c r="F461" s="654"/>
      <c r="H461" s="609" t="str">
        <f t="shared" si="104"/>
        <v/>
      </c>
      <c r="I461" s="609" t="str">
        <f t="shared" si="104"/>
        <v/>
      </c>
      <c r="J461" s="609" t="str">
        <f t="shared" si="104"/>
        <v/>
      </c>
      <c r="K461" s="609" t="str">
        <f t="shared" si="104"/>
        <v/>
      </c>
      <c r="L461" s="609" t="str">
        <f t="shared" si="104"/>
        <v/>
      </c>
      <c r="M461" s="609" t="str">
        <f t="shared" si="104"/>
        <v/>
      </c>
      <c r="N461" s="609" t="str">
        <f t="shared" si="104"/>
        <v/>
      </c>
      <c r="O461" s="609" t="str">
        <f t="shared" si="104"/>
        <v/>
      </c>
      <c r="P461" s="609" t="str">
        <f t="shared" si="104"/>
        <v/>
      </c>
      <c r="Q461" s="609" t="str">
        <f t="shared" si="104"/>
        <v/>
      </c>
      <c r="R461" s="609" t="str">
        <f t="shared" si="104"/>
        <v/>
      </c>
      <c r="S461" s="609" t="str">
        <f t="shared" si="104"/>
        <v/>
      </c>
      <c r="T461" s="609" t="str">
        <f t="shared" si="104"/>
        <v/>
      </c>
      <c r="U461" s="609" t="str">
        <f t="shared" si="104"/>
        <v/>
      </c>
      <c r="V461" s="609" t="str">
        <f t="shared" si="104"/>
        <v/>
      </c>
      <c r="W461" s="609" t="str">
        <f t="shared" si="104"/>
        <v/>
      </c>
      <c r="X461" s="609" t="str">
        <f t="shared" si="103"/>
        <v/>
      </c>
      <c r="Y461" s="609" t="str">
        <f t="shared" si="103"/>
        <v/>
      </c>
      <c r="Z461" s="609" t="str">
        <f t="shared" si="103"/>
        <v/>
      </c>
      <c r="AA461" s="609" t="str">
        <f t="shared" si="103"/>
        <v/>
      </c>
      <c r="AB461" s="609" t="str">
        <f t="shared" si="103"/>
        <v/>
      </c>
      <c r="AC461" s="609" t="str">
        <f t="shared" si="103"/>
        <v/>
      </c>
      <c r="AD461" s="609" t="str">
        <f t="shared" si="103"/>
        <v/>
      </c>
      <c r="AE461" s="609" t="str">
        <f t="shared" si="103"/>
        <v/>
      </c>
      <c r="AF461" s="609" t="str">
        <f t="shared" si="103"/>
        <v/>
      </c>
      <c r="AG461" s="609" t="str">
        <f t="shared" si="103"/>
        <v/>
      </c>
      <c r="AH461" s="609" t="str">
        <f t="shared" si="103"/>
        <v/>
      </c>
      <c r="AI461" s="609" t="str">
        <f t="shared" si="103"/>
        <v/>
      </c>
      <c r="AJ461" s="609" t="str">
        <f t="shared" si="103"/>
        <v/>
      </c>
      <c r="AK461" s="609" t="str">
        <f t="shared" si="103"/>
        <v/>
      </c>
      <c r="AL461" s="609" t="str">
        <f t="shared" si="103"/>
        <v/>
      </c>
      <c r="AM461" s="609" t="str">
        <f t="shared" si="106"/>
        <v/>
      </c>
      <c r="AN461" s="609" t="str">
        <f t="shared" si="106"/>
        <v/>
      </c>
      <c r="AO461" s="609" t="str">
        <f t="shared" si="106"/>
        <v/>
      </c>
      <c r="AP461" s="609" t="str">
        <f t="shared" si="106"/>
        <v/>
      </c>
      <c r="AQ461" s="609" t="str">
        <f t="shared" si="106"/>
        <v/>
      </c>
      <c r="AR461" s="609" t="str">
        <f t="shared" si="106"/>
        <v/>
      </c>
      <c r="AS461" s="609" t="str">
        <f t="shared" si="106"/>
        <v/>
      </c>
      <c r="AT461" s="609" t="str">
        <f t="shared" si="106"/>
        <v/>
      </c>
      <c r="AU461" s="609" t="str">
        <f t="shared" si="106"/>
        <v/>
      </c>
      <c r="AV461" s="609" t="str">
        <f t="shared" si="106"/>
        <v/>
      </c>
      <c r="AW461" s="609" t="str">
        <f t="shared" si="106"/>
        <v/>
      </c>
      <c r="AX461" s="609" t="str">
        <f t="shared" si="106"/>
        <v/>
      </c>
      <c r="AY461" s="609" t="str">
        <f t="shared" si="106"/>
        <v/>
      </c>
      <c r="AZ461" s="609" t="str">
        <f t="shared" si="106"/>
        <v/>
      </c>
      <c r="BA461" s="609" t="str">
        <f t="shared" si="106"/>
        <v/>
      </c>
      <c r="BB461" s="609" t="str">
        <f t="shared" si="106"/>
        <v/>
      </c>
      <c r="BC461" s="609" t="str">
        <f t="shared" si="105"/>
        <v/>
      </c>
      <c r="BD461" s="609" t="str">
        <f t="shared" si="105"/>
        <v/>
      </c>
      <c r="BE461" s="609" t="str">
        <f t="shared" si="105"/>
        <v/>
      </c>
      <c r="BF461" s="609" t="str">
        <f t="shared" si="105"/>
        <v/>
      </c>
      <c r="BG461" s="609" t="str">
        <f t="shared" si="105"/>
        <v/>
      </c>
    </row>
    <row r="462" spans="2:59" x14ac:dyDescent="0.25">
      <c r="B462" s="654">
        <v>456</v>
      </c>
      <c r="C462" s="654"/>
      <c r="D462" s="654"/>
      <c r="E462" s="655"/>
      <c r="F462" s="654"/>
      <c r="H462" s="609" t="str">
        <f t="shared" si="104"/>
        <v/>
      </c>
      <c r="I462" s="609" t="str">
        <f t="shared" si="104"/>
        <v/>
      </c>
      <c r="J462" s="609" t="str">
        <f t="shared" si="104"/>
        <v/>
      </c>
      <c r="K462" s="609" t="str">
        <f t="shared" si="104"/>
        <v/>
      </c>
      <c r="L462" s="609" t="str">
        <f t="shared" si="104"/>
        <v/>
      </c>
      <c r="M462" s="609" t="str">
        <f t="shared" si="104"/>
        <v/>
      </c>
      <c r="N462" s="609" t="str">
        <f t="shared" si="104"/>
        <v/>
      </c>
      <c r="O462" s="609" t="str">
        <f t="shared" si="104"/>
        <v/>
      </c>
      <c r="P462" s="609" t="str">
        <f t="shared" si="104"/>
        <v/>
      </c>
      <c r="Q462" s="609" t="str">
        <f t="shared" si="104"/>
        <v/>
      </c>
      <c r="R462" s="609" t="str">
        <f t="shared" si="104"/>
        <v/>
      </c>
      <c r="S462" s="609" t="str">
        <f t="shared" si="104"/>
        <v/>
      </c>
      <c r="T462" s="609" t="str">
        <f t="shared" si="104"/>
        <v/>
      </c>
      <c r="U462" s="609" t="str">
        <f t="shared" si="104"/>
        <v/>
      </c>
      <c r="V462" s="609" t="str">
        <f t="shared" si="104"/>
        <v/>
      </c>
      <c r="W462" s="609" t="str">
        <f t="shared" si="104"/>
        <v/>
      </c>
      <c r="X462" s="609" t="str">
        <f t="shared" si="103"/>
        <v/>
      </c>
      <c r="Y462" s="609" t="str">
        <f t="shared" si="103"/>
        <v/>
      </c>
      <c r="Z462" s="609" t="str">
        <f t="shared" si="103"/>
        <v/>
      </c>
      <c r="AA462" s="609" t="str">
        <f t="shared" si="103"/>
        <v/>
      </c>
      <c r="AB462" s="609" t="str">
        <f t="shared" si="103"/>
        <v/>
      </c>
      <c r="AC462" s="609" t="str">
        <f t="shared" si="103"/>
        <v/>
      </c>
      <c r="AD462" s="609" t="str">
        <f t="shared" si="103"/>
        <v/>
      </c>
      <c r="AE462" s="609" t="str">
        <f t="shared" si="103"/>
        <v/>
      </c>
      <c r="AF462" s="609" t="str">
        <f t="shared" si="103"/>
        <v/>
      </c>
      <c r="AG462" s="609" t="str">
        <f t="shared" si="103"/>
        <v/>
      </c>
      <c r="AH462" s="609" t="str">
        <f t="shared" si="103"/>
        <v/>
      </c>
      <c r="AI462" s="609" t="str">
        <f t="shared" si="103"/>
        <v/>
      </c>
      <c r="AJ462" s="609" t="str">
        <f t="shared" si="103"/>
        <v/>
      </c>
      <c r="AK462" s="609" t="str">
        <f t="shared" si="103"/>
        <v/>
      </c>
      <c r="AL462" s="609" t="str">
        <f t="shared" si="103"/>
        <v/>
      </c>
      <c r="AM462" s="609" t="str">
        <f t="shared" si="106"/>
        <v/>
      </c>
      <c r="AN462" s="609" t="str">
        <f t="shared" si="106"/>
        <v/>
      </c>
      <c r="AO462" s="609" t="str">
        <f t="shared" si="106"/>
        <v/>
      </c>
      <c r="AP462" s="609" t="str">
        <f t="shared" si="106"/>
        <v/>
      </c>
      <c r="AQ462" s="609" t="str">
        <f t="shared" si="106"/>
        <v/>
      </c>
      <c r="AR462" s="609" t="str">
        <f t="shared" si="106"/>
        <v/>
      </c>
      <c r="AS462" s="609" t="str">
        <f t="shared" si="106"/>
        <v/>
      </c>
      <c r="AT462" s="609" t="str">
        <f t="shared" si="106"/>
        <v/>
      </c>
      <c r="AU462" s="609" t="str">
        <f t="shared" si="106"/>
        <v/>
      </c>
      <c r="AV462" s="609" t="str">
        <f t="shared" si="106"/>
        <v/>
      </c>
      <c r="AW462" s="609" t="str">
        <f t="shared" si="106"/>
        <v/>
      </c>
      <c r="AX462" s="609" t="str">
        <f t="shared" si="106"/>
        <v/>
      </c>
      <c r="AY462" s="609" t="str">
        <f t="shared" si="106"/>
        <v/>
      </c>
      <c r="AZ462" s="609" t="str">
        <f t="shared" si="106"/>
        <v/>
      </c>
      <c r="BA462" s="609" t="str">
        <f t="shared" si="106"/>
        <v/>
      </c>
      <c r="BB462" s="609" t="str">
        <f t="shared" si="106"/>
        <v/>
      </c>
      <c r="BC462" s="609" t="str">
        <f t="shared" si="105"/>
        <v/>
      </c>
      <c r="BD462" s="609" t="str">
        <f t="shared" si="105"/>
        <v/>
      </c>
      <c r="BE462" s="609" t="str">
        <f t="shared" si="105"/>
        <v/>
      </c>
      <c r="BF462" s="609" t="str">
        <f t="shared" si="105"/>
        <v/>
      </c>
      <c r="BG462" s="609" t="str">
        <f t="shared" si="105"/>
        <v/>
      </c>
    </row>
    <row r="463" spans="2:59" x14ac:dyDescent="0.25">
      <c r="B463" s="654">
        <v>457</v>
      </c>
      <c r="C463" s="654"/>
      <c r="D463" s="654"/>
      <c r="E463" s="655"/>
      <c r="F463" s="654"/>
      <c r="H463" s="609" t="str">
        <f t="shared" si="104"/>
        <v/>
      </c>
      <c r="I463" s="609" t="str">
        <f t="shared" si="104"/>
        <v/>
      </c>
      <c r="J463" s="609" t="str">
        <f t="shared" si="104"/>
        <v/>
      </c>
      <c r="K463" s="609" t="str">
        <f t="shared" si="104"/>
        <v/>
      </c>
      <c r="L463" s="609" t="str">
        <f t="shared" si="104"/>
        <v/>
      </c>
      <c r="M463" s="609" t="str">
        <f t="shared" si="104"/>
        <v/>
      </c>
      <c r="N463" s="609" t="str">
        <f t="shared" si="104"/>
        <v/>
      </c>
      <c r="O463" s="609" t="str">
        <f t="shared" si="104"/>
        <v/>
      </c>
      <c r="P463" s="609" t="str">
        <f t="shared" si="104"/>
        <v/>
      </c>
      <c r="Q463" s="609" t="str">
        <f t="shared" si="104"/>
        <v/>
      </c>
      <c r="R463" s="609" t="str">
        <f t="shared" si="104"/>
        <v/>
      </c>
      <c r="S463" s="609" t="str">
        <f t="shared" si="104"/>
        <v/>
      </c>
      <c r="T463" s="609" t="str">
        <f t="shared" si="104"/>
        <v/>
      </c>
      <c r="U463" s="609" t="str">
        <f t="shared" si="104"/>
        <v/>
      </c>
      <c r="V463" s="609" t="str">
        <f t="shared" si="104"/>
        <v/>
      </c>
      <c r="W463" s="609" t="str">
        <f t="shared" si="104"/>
        <v/>
      </c>
      <c r="X463" s="609" t="str">
        <f t="shared" si="103"/>
        <v/>
      </c>
      <c r="Y463" s="609" t="str">
        <f t="shared" si="103"/>
        <v/>
      </c>
      <c r="Z463" s="609" t="str">
        <f t="shared" si="103"/>
        <v/>
      </c>
      <c r="AA463" s="609" t="str">
        <f t="shared" si="103"/>
        <v/>
      </c>
      <c r="AB463" s="609" t="str">
        <f t="shared" si="103"/>
        <v/>
      </c>
      <c r="AC463" s="609" t="str">
        <f t="shared" si="103"/>
        <v/>
      </c>
      <c r="AD463" s="609" t="str">
        <f t="shared" si="103"/>
        <v/>
      </c>
      <c r="AE463" s="609" t="str">
        <f t="shared" si="103"/>
        <v/>
      </c>
      <c r="AF463" s="609" t="str">
        <f t="shared" si="103"/>
        <v/>
      </c>
      <c r="AG463" s="609" t="str">
        <f t="shared" si="103"/>
        <v/>
      </c>
      <c r="AH463" s="609" t="str">
        <f t="shared" si="103"/>
        <v/>
      </c>
      <c r="AI463" s="609" t="str">
        <f t="shared" si="103"/>
        <v/>
      </c>
      <c r="AJ463" s="609" t="str">
        <f t="shared" si="103"/>
        <v/>
      </c>
      <c r="AK463" s="609" t="str">
        <f t="shared" si="103"/>
        <v/>
      </c>
      <c r="AL463" s="609" t="str">
        <f t="shared" si="103"/>
        <v/>
      </c>
      <c r="AM463" s="609" t="str">
        <f t="shared" si="106"/>
        <v/>
      </c>
      <c r="AN463" s="609" t="str">
        <f t="shared" si="106"/>
        <v/>
      </c>
      <c r="AO463" s="609" t="str">
        <f t="shared" si="106"/>
        <v/>
      </c>
      <c r="AP463" s="609" t="str">
        <f t="shared" si="106"/>
        <v/>
      </c>
      <c r="AQ463" s="609" t="str">
        <f t="shared" si="106"/>
        <v/>
      </c>
      <c r="AR463" s="609" t="str">
        <f t="shared" si="106"/>
        <v/>
      </c>
      <c r="AS463" s="609" t="str">
        <f t="shared" si="106"/>
        <v/>
      </c>
      <c r="AT463" s="609" t="str">
        <f t="shared" si="106"/>
        <v/>
      </c>
      <c r="AU463" s="609" t="str">
        <f t="shared" si="106"/>
        <v/>
      </c>
      <c r="AV463" s="609" t="str">
        <f t="shared" si="106"/>
        <v/>
      </c>
      <c r="AW463" s="609" t="str">
        <f t="shared" si="106"/>
        <v/>
      </c>
      <c r="AX463" s="609" t="str">
        <f t="shared" si="106"/>
        <v/>
      </c>
      <c r="AY463" s="609" t="str">
        <f t="shared" si="106"/>
        <v/>
      </c>
      <c r="AZ463" s="609" t="str">
        <f t="shared" si="106"/>
        <v/>
      </c>
      <c r="BA463" s="609" t="str">
        <f t="shared" si="106"/>
        <v/>
      </c>
      <c r="BB463" s="609" t="str">
        <f t="shared" si="106"/>
        <v/>
      </c>
      <c r="BC463" s="609" t="str">
        <f t="shared" si="105"/>
        <v/>
      </c>
      <c r="BD463" s="609" t="str">
        <f t="shared" si="105"/>
        <v/>
      </c>
      <c r="BE463" s="609" t="str">
        <f t="shared" si="105"/>
        <v/>
      </c>
      <c r="BF463" s="609" t="str">
        <f t="shared" si="105"/>
        <v/>
      </c>
      <c r="BG463" s="609" t="str">
        <f t="shared" si="105"/>
        <v/>
      </c>
    </row>
    <row r="464" spans="2:59" x14ac:dyDescent="0.25">
      <c r="B464" s="654">
        <v>458</v>
      </c>
      <c r="C464" s="654"/>
      <c r="D464" s="654"/>
      <c r="E464" s="655"/>
      <c r="F464" s="654"/>
      <c r="H464" s="609" t="str">
        <f t="shared" si="104"/>
        <v/>
      </c>
      <c r="I464" s="609" t="str">
        <f t="shared" si="104"/>
        <v/>
      </c>
      <c r="J464" s="609" t="str">
        <f t="shared" si="104"/>
        <v/>
      </c>
      <c r="K464" s="609" t="str">
        <f t="shared" si="104"/>
        <v/>
      </c>
      <c r="L464" s="609" t="str">
        <f t="shared" si="104"/>
        <v/>
      </c>
      <c r="M464" s="609" t="str">
        <f t="shared" si="104"/>
        <v/>
      </c>
      <c r="N464" s="609" t="str">
        <f t="shared" si="104"/>
        <v/>
      </c>
      <c r="O464" s="609" t="str">
        <f t="shared" si="104"/>
        <v/>
      </c>
      <c r="P464" s="609" t="str">
        <f t="shared" si="104"/>
        <v/>
      </c>
      <c r="Q464" s="609" t="str">
        <f t="shared" si="104"/>
        <v/>
      </c>
      <c r="R464" s="609" t="str">
        <f t="shared" si="104"/>
        <v/>
      </c>
      <c r="S464" s="609" t="str">
        <f t="shared" si="104"/>
        <v/>
      </c>
      <c r="T464" s="609" t="str">
        <f t="shared" si="104"/>
        <v/>
      </c>
      <c r="U464" s="609" t="str">
        <f t="shared" si="104"/>
        <v/>
      </c>
      <c r="V464" s="609" t="str">
        <f t="shared" si="104"/>
        <v/>
      </c>
      <c r="W464" s="609" t="str">
        <f t="shared" si="104"/>
        <v/>
      </c>
      <c r="X464" s="609" t="str">
        <f t="shared" si="103"/>
        <v/>
      </c>
      <c r="Y464" s="609" t="str">
        <f t="shared" si="103"/>
        <v/>
      </c>
      <c r="Z464" s="609" t="str">
        <f t="shared" si="103"/>
        <v/>
      </c>
      <c r="AA464" s="609" t="str">
        <f t="shared" si="103"/>
        <v/>
      </c>
      <c r="AB464" s="609" t="str">
        <f t="shared" si="103"/>
        <v/>
      </c>
      <c r="AC464" s="609" t="str">
        <f t="shared" si="103"/>
        <v/>
      </c>
      <c r="AD464" s="609" t="str">
        <f t="shared" si="103"/>
        <v/>
      </c>
      <c r="AE464" s="609" t="str">
        <f t="shared" si="103"/>
        <v/>
      </c>
      <c r="AF464" s="609" t="str">
        <f t="shared" si="103"/>
        <v/>
      </c>
      <c r="AG464" s="609" t="str">
        <f t="shared" si="103"/>
        <v/>
      </c>
      <c r="AH464" s="609" t="str">
        <f t="shared" si="103"/>
        <v/>
      </c>
      <c r="AI464" s="609" t="str">
        <f t="shared" si="103"/>
        <v/>
      </c>
      <c r="AJ464" s="609" t="str">
        <f t="shared" si="103"/>
        <v/>
      </c>
      <c r="AK464" s="609" t="str">
        <f t="shared" si="103"/>
        <v/>
      </c>
      <c r="AL464" s="609" t="str">
        <f t="shared" si="103"/>
        <v/>
      </c>
      <c r="AM464" s="609" t="str">
        <f t="shared" si="106"/>
        <v/>
      </c>
      <c r="AN464" s="609" t="str">
        <f t="shared" si="106"/>
        <v/>
      </c>
      <c r="AO464" s="609" t="str">
        <f t="shared" si="106"/>
        <v/>
      </c>
      <c r="AP464" s="609" t="str">
        <f t="shared" si="106"/>
        <v/>
      </c>
      <c r="AQ464" s="609" t="str">
        <f t="shared" si="106"/>
        <v/>
      </c>
      <c r="AR464" s="609" t="str">
        <f t="shared" si="106"/>
        <v/>
      </c>
      <c r="AS464" s="609" t="str">
        <f t="shared" si="106"/>
        <v/>
      </c>
      <c r="AT464" s="609" t="str">
        <f t="shared" si="106"/>
        <v/>
      </c>
      <c r="AU464" s="609" t="str">
        <f t="shared" si="106"/>
        <v/>
      </c>
      <c r="AV464" s="609" t="str">
        <f t="shared" si="106"/>
        <v/>
      </c>
      <c r="AW464" s="609" t="str">
        <f t="shared" si="106"/>
        <v/>
      </c>
      <c r="AX464" s="609" t="str">
        <f t="shared" si="106"/>
        <v/>
      </c>
      <c r="AY464" s="609" t="str">
        <f t="shared" si="106"/>
        <v/>
      </c>
      <c r="AZ464" s="609" t="str">
        <f t="shared" si="106"/>
        <v/>
      </c>
      <c r="BA464" s="609" t="str">
        <f t="shared" si="106"/>
        <v/>
      </c>
      <c r="BB464" s="609" t="str">
        <f t="shared" si="106"/>
        <v/>
      </c>
      <c r="BC464" s="609" t="str">
        <f t="shared" si="105"/>
        <v/>
      </c>
      <c r="BD464" s="609" t="str">
        <f t="shared" si="105"/>
        <v/>
      </c>
      <c r="BE464" s="609" t="str">
        <f t="shared" si="105"/>
        <v/>
      </c>
      <c r="BF464" s="609" t="str">
        <f t="shared" si="105"/>
        <v/>
      </c>
      <c r="BG464" s="609" t="str">
        <f t="shared" si="105"/>
        <v/>
      </c>
    </row>
    <row r="465" spans="2:59" x14ac:dyDescent="0.25">
      <c r="B465" s="654">
        <v>459</v>
      </c>
      <c r="C465" s="654"/>
      <c r="D465" s="654"/>
      <c r="E465" s="655"/>
      <c r="F465" s="654"/>
      <c r="H465" s="609" t="str">
        <f t="shared" si="104"/>
        <v/>
      </c>
      <c r="I465" s="609" t="str">
        <f t="shared" si="104"/>
        <v/>
      </c>
      <c r="J465" s="609" t="str">
        <f t="shared" si="104"/>
        <v/>
      </c>
      <c r="K465" s="609" t="str">
        <f t="shared" si="104"/>
        <v/>
      </c>
      <c r="L465" s="609" t="str">
        <f t="shared" si="104"/>
        <v/>
      </c>
      <c r="M465" s="609" t="str">
        <f t="shared" si="104"/>
        <v/>
      </c>
      <c r="N465" s="609" t="str">
        <f t="shared" si="104"/>
        <v/>
      </c>
      <c r="O465" s="609" t="str">
        <f t="shared" si="104"/>
        <v/>
      </c>
      <c r="P465" s="609" t="str">
        <f t="shared" si="104"/>
        <v/>
      </c>
      <c r="Q465" s="609" t="str">
        <f t="shared" si="104"/>
        <v/>
      </c>
      <c r="R465" s="609" t="str">
        <f t="shared" si="104"/>
        <v/>
      </c>
      <c r="S465" s="609" t="str">
        <f t="shared" si="104"/>
        <v/>
      </c>
      <c r="T465" s="609" t="str">
        <f t="shared" si="104"/>
        <v/>
      </c>
      <c r="U465" s="609" t="str">
        <f t="shared" si="104"/>
        <v/>
      </c>
      <c r="V465" s="609" t="str">
        <f t="shared" si="104"/>
        <v/>
      </c>
      <c r="W465" s="609" t="str">
        <f t="shared" si="104"/>
        <v/>
      </c>
      <c r="X465" s="609" t="str">
        <f t="shared" si="103"/>
        <v/>
      </c>
      <c r="Y465" s="609" t="str">
        <f t="shared" si="103"/>
        <v/>
      </c>
      <c r="Z465" s="609" t="str">
        <f t="shared" si="103"/>
        <v/>
      </c>
      <c r="AA465" s="609" t="str">
        <f t="shared" si="103"/>
        <v/>
      </c>
      <c r="AB465" s="609" t="str">
        <f t="shared" si="103"/>
        <v/>
      </c>
      <c r="AC465" s="609" t="str">
        <f t="shared" si="103"/>
        <v/>
      </c>
      <c r="AD465" s="609" t="str">
        <f t="shared" si="103"/>
        <v/>
      </c>
      <c r="AE465" s="609" t="str">
        <f t="shared" si="103"/>
        <v/>
      </c>
      <c r="AF465" s="609" t="str">
        <f t="shared" si="103"/>
        <v/>
      </c>
      <c r="AG465" s="609" t="str">
        <f t="shared" si="103"/>
        <v/>
      </c>
      <c r="AH465" s="609" t="str">
        <f t="shared" si="103"/>
        <v/>
      </c>
      <c r="AI465" s="609" t="str">
        <f t="shared" si="103"/>
        <v/>
      </c>
      <c r="AJ465" s="609" t="str">
        <f t="shared" si="103"/>
        <v/>
      </c>
      <c r="AK465" s="609" t="str">
        <f t="shared" si="103"/>
        <v/>
      </c>
      <c r="AL465" s="609" t="str">
        <f t="shared" si="103"/>
        <v/>
      </c>
      <c r="AM465" s="609" t="str">
        <f t="shared" si="106"/>
        <v/>
      </c>
      <c r="AN465" s="609" t="str">
        <f t="shared" si="106"/>
        <v/>
      </c>
      <c r="AO465" s="609" t="str">
        <f t="shared" si="106"/>
        <v/>
      </c>
      <c r="AP465" s="609" t="str">
        <f t="shared" si="106"/>
        <v/>
      </c>
      <c r="AQ465" s="609" t="str">
        <f t="shared" si="106"/>
        <v/>
      </c>
      <c r="AR465" s="609" t="str">
        <f t="shared" si="106"/>
        <v/>
      </c>
      <c r="AS465" s="609" t="str">
        <f t="shared" si="106"/>
        <v/>
      </c>
      <c r="AT465" s="609" t="str">
        <f t="shared" si="106"/>
        <v/>
      </c>
      <c r="AU465" s="609" t="str">
        <f t="shared" si="106"/>
        <v/>
      </c>
      <c r="AV465" s="609" t="str">
        <f t="shared" si="106"/>
        <v/>
      </c>
      <c r="AW465" s="609" t="str">
        <f t="shared" si="106"/>
        <v/>
      </c>
      <c r="AX465" s="609" t="str">
        <f t="shared" si="106"/>
        <v/>
      </c>
      <c r="AY465" s="609" t="str">
        <f t="shared" si="106"/>
        <v/>
      </c>
      <c r="AZ465" s="609" t="str">
        <f t="shared" si="106"/>
        <v/>
      </c>
      <c r="BA465" s="609" t="str">
        <f t="shared" si="106"/>
        <v/>
      </c>
      <c r="BB465" s="609" t="str">
        <f t="shared" si="106"/>
        <v/>
      </c>
      <c r="BC465" s="609" t="str">
        <f t="shared" si="105"/>
        <v/>
      </c>
      <c r="BD465" s="609" t="str">
        <f t="shared" si="105"/>
        <v/>
      </c>
      <c r="BE465" s="609" t="str">
        <f t="shared" si="105"/>
        <v/>
      </c>
      <c r="BF465" s="609" t="str">
        <f t="shared" si="105"/>
        <v/>
      </c>
      <c r="BG465" s="609" t="str">
        <f t="shared" si="105"/>
        <v/>
      </c>
    </row>
    <row r="466" spans="2:59" x14ac:dyDescent="0.25">
      <c r="B466" s="654">
        <v>460</v>
      </c>
      <c r="C466" s="654"/>
      <c r="D466" s="654"/>
      <c r="E466" s="655"/>
      <c r="F466" s="654"/>
      <c r="H466" s="609" t="str">
        <f t="shared" si="104"/>
        <v/>
      </c>
      <c r="I466" s="609" t="str">
        <f t="shared" si="104"/>
        <v/>
      </c>
      <c r="J466" s="609" t="str">
        <f t="shared" si="104"/>
        <v/>
      </c>
      <c r="K466" s="609" t="str">
        <f t="shared" si="104"/>
        <v/>
      </c>
      <c r="L466" s="609" t="str">
        <f t="shared" si="104"/>
        <v/>
      </c>
      <c r="M466" s="609" t="str">
        <f t="shared" si="104"/>
        <v/>
      </c>
      <c r="N466" s="609" t="str">
        <f t="shared" si="104"/>
        <v/>
      </c>
      <c r="O466" s="609" t="str">
        <f t="shared" si="104"/>
        <v/>
      </c>
      <c r="P466" s="609" t="str">
        <f t="shared" si="104"/>
        <v/>
      </c>
      <c r="Q466" s="609" t="str">
        <f t="shared" si="104"/>
        <v/>
      </c>
      <c r="R466" s="609" t="str">
        <f t="shared" si="104"/>
        <v/>
      </c>
      <c r="S466" s="609" t="str">
        <f t="shared" si="104"/>
        <v/>
      </c>
      <c r="T466" s="609" t="str">
        <f t="shared" si="104"/>
        <v/>
      </c>
      <c r="U466" s="609" t="str">
        <f t="shared" si="104"/>
        <v/>
      </c>
      <c r="V466" s="609" t="str">
        <f t="shared" si="104"/>
        <v/>
      </c>
      <c r="W466" s="609" t="str">
        <f t="shared" si="104"/>
        <v/>
      </c>
      <c r="X466" s="609" t="str">
        <f t="shared" si="103"/>
        <v/>
      </c>
      <c r="Y466" s="609" t="str">
        <f t="shared" si="103"/>
        <v/>
      </c>
      <c r="Z466" s="609" t="str">
        <f t="shared" si="103"/>
        <v/>
      </c>
      <c r="AA466" s="609" t="str">
        <f t="shared" si="103"/>
        <v/>
      </c>
      <c r="AB466" s="609" t="str">
        <f t="shared" si="103"/>
        <v/>
      </c>
      <c r="AC466" s="609" t="str">
        <f t="shared" si="103"/>
        <v/>
      </c>
      <c r="AD466" s="609" t="str">
        <f t="shared" si="103"/>
        <v/>
      </c>
      <c r="AE466" s="609" t="str">
        <f t="shared" si="103"/>
        <v/>
      </c>
      <c r="AF466" s="609" t="str">
        <f t="shared" si="103"/>
        <v/>
      </c>
      <c r="AG466" s="609" t="str">
        <f t="shared" si="103"/>
        <v/>
      </c>
      <c r="AH466" s="609" t="str">
        <f t="shared" si="103"/>
        <v/>
      </c>
      <c r="AI466" s="609" t="str">
        <f t="shared" si="103"/>
        <v/>
      </c>
      <c r="AJ466" s="609" t="str">
        <f t="shared" si="103"/>
        <v/>
      </c>
      <c r="AK466" s="609" t="str">
        <f t="shared" si="103"/>
        <v/>
      </c>
      <c r="AL466" s="609" t="str">
        <f t="shared" si="103"/>
        <v/>
      </c>
      <c r="AM466" s="609" t="str">
        <f t="shared" si="106"/>
        <v/>
      </c>
      <c r="AN466" s="609" t="str">
        <f t="shared" si="106"/>
        <v/>
      </c>
      <c r="AO466" s="609" t="str">
        <f t="shared" si="106"/>
        <v/>
      </c>
      <c r="AP466" s="609" t="str">
        <f t="shared" si="106"/>
        <v/>
      </c>
      <c r="AQ466" s="609" t="str">
        <f t="shared" si="106"/>
        <v/>
      </c>
      <c r="AR466" s="609" t="str">
        <f t="shared" si="106"/>
        <v/>
      </c>
      <c r="AS466" s="609" t="str">
        <f t="shared" si="106"/>
        <v/>
      </c>
      <c r="AT466" s="609" t="str">
        <f t="shared" si="106"/>
        <v/>
      </c>
      <c r="AU466" s="609" t="str">
        <f t="shared" si="106"/>
        <v/>
      </c>
      <c r="AV466" s="609" t="str">
        <f t="shared" si="106"/>
        <v/>
      </c>
      <c r="AW466" s="609" t="str">
        <f t="shared" si="106"/>
        <v/>
      </c>
      <c r="AX466" s="609" t="str">
        <f t="shared" si="106"/>
        <v/>
      </c>
      <c r="AY466" s="609" t="str">
        <f t="shared" si="106"/>
        <v/>
      </c>
      <c r="AZ466" s="609" t="str">
        <f t="shared" si="106"/>
        <v/>
      </c>
      <c r="BA466" s="609" t="str">
        <f t="shared" si="106"/>
        <v/>
      </c>
      <c r="BB466" s="609" t="str">
        <f t="shared" si="106"/>
        <v/>
      </c>
      <c r="BC466" s="609" t="str">
        <f t="shared" si="105"/>
        <v/>
      </c>
      <c r="BD466" s="609" t="str">
        <f t="shared" si="105"/>
        <v/>
      </c>
      <c r="BE466" s="609" t="str">
        <f t="shared" si="105"/>
        <v/>
      </c>
      <c r="BF466" s="609" t="str">
        <f t="shared" si="105"/>
        <v/>
      </c>
      <c r="BG466" s="609" t="str">
        <f t="shared" si="105"/>
        <v/>
      </c>
    </row>
    <row r="467" spans="2:59" x14ac:dyDescent="0.25">
      <c r="B467" s="654">
        <v>461</v>
      </c>
      <c r="C467" s="654"/>
      <c r="D467" s="654"/>
      <c r="E467" s="655"/>
      <c r="F467" s="654"/>
      <c r="H467" s="609" t="str">
        <f t="shared" si="104"/>
        <v/>
      </c>
      <c r="I467" s="609" t="str">
        <f t="shared" si="104"/>
        <v/>
      </c>
      <c r="J467" s="609" t="str">
        <f t="shared" si="104"/>
        <v/>
      </c>
      <c r="K467" s="609" t="str">
        <f t="shared" si="104"/>
        <v/>
      </c>
      <c r="L467" s="609" t="str">
        <f t="shared" si="104"/>
        <v/>
      </c>
      <c r="M467" s="609" t="str">
        <f t="shared" si="104"/>
        <v/>
      </c>
      <c r="N467" s="609" t="str">
        <f t="shared" si="104"/>
        <v/>
      </c>
      <c r="O467" s="609" t="str">
        <f t="shared" si="104"/>
        <v/>
      </c>
      <c r="P467" s="609" t="str">
        <f t="shared" si="104"/>
        <v/>
      </c>
      <c r="Q467" s="609" t="str">
        <f t="shared" si="104"/>
        <v/>
      </c>
      <c r="R467" s="609" t="str">
        <f t="shared" si="104"/>
        <v/>
      </c>
      <c r="S467" s="609" t="str">
        <f t="shared" si="104"/>
        <v/>
      </c>
      <c r="T467" s="609" t="str">
        <f t="shared" si="104"/>
        <v/>
      </c>
      <c r="U467" s="609" t="str">
        <f t="shared" si="104"/>
        <v/>
      </c>
      <c r="V467" s="609" t="str">
        <f t="shared" si="104"/>
        <v/>
      </c>
      <c r="W467" s="609" t="str">
        <f t="shared" si="104"/>
        <v/>
      </c>
      <c r="X467" s="609" t="str">
        <f t="shared" si="103"/>
        <v/>
      </c>
      <c r="Y467" s="609" t="str">
        <f t="shared" si="103"/>
        <v/>
      </c>
      <c r="Z467" s="609" t="str">
        <f t="shared" si="103"/>
        <v/>
      </c>
      <c r="AA467" s="609" t="str">
        <f t="shared" si="103"/>
        <v/>
      </c>
      <c r="AB467" s="609" t="str">
        <f t="shared" si="103"/>
        <v/>
      </c>
      <c r="AC467" s="609" t="str">
        <f t="shared" si="103"/>
        <v/>
      </c>
      <c r="AD467" s="609" t="str">
        <f t="shared" si="103"/>
        <v/>
      </c>
      <c r="AE467" s="609" t="str">
        <f t="shared" si="103"/>
        <v/>
      </c>
      <c r="AF467" s="609" t="str">
        <f t="shared" si="103"/>
        <v/>
      </c>
      <c r="AG467" s="609" t="str">
        <f t="shared" si="103"/>
        <v/>
      </c>
      <c r="AH467" s="609" t="str">
        <f t="shared" si="103"/>
        <v/>
      </c>
      <c r="AI467" s="609" t="str">
        <f t="shared" si="103"/>
        <v/>
      </c>
      <c r="AJ467" s="609" t="str">
        <f t="shared" si="103"/>
        <v/>
      </c>
      <c r="AK467" s="609" t="str">
        <f t="shared" si="103"/>
        <v/>
      </c>
      <c r="AL467" s="609" t="str">
        <f t="shared" si="103"/>
        <v/>
      </c>
      <c r="AM467" s="609" t="str">
        <f t="shared" si="106"/>
        <v/>
      </c>
      <c r="AN467" s="609" t="str">
        <f t="shared" si="106"/>
        <v/>
      </c>
      <c r="AO467" s="609" t="str">
        <f t="shared" si="106"/>
        <v/>
      </c>
      <c r="AP467" s="609" t="str">
        <f t="shared" si="106"/>
        <v/>
      </c>
      <c r="AQ467" s="609" t="str">
        <f t="shared" si="106"/>
        <v/>
      </c>
      <c r="AR467" s="609" t="str">
        <f t="shared" si="106"/>
        <v/>
      </c>
      <c r="AS467" s="609" t="str">
        <f t="shared" si="106"/>
        <v/>
      </c>
      <c r="AT467" s="609" t="str">
        <f t="shared" si="106"/>
        <v/>
      </c>
      <c r="AU467" s="609" t="str">
        <f t="shared" si="106"/>
        <v/>
      </c>
      <c r="AV467" s="609" t="str">
        <f t="shared" si="106"/>
        <v/>
      </c>
      <c r="AW467" s="609" t="str">
        <f t="shared" si="106"/>
        <v/>
      </c>
      <c r="AX467" s="609" t="str">
        <f t="shared" si="106"/>
        <v/>
      </c>
      <c r="AY467" s="609" t="str">
        <f t="shared" si="106"/>
        <v/>
      </c>
      <c r="AZ467" s="609" t="str">
        <f t="shared" si="106"/>
        <v/>
      </c>
      <c r="BA467" s="609" t="str">
        <f t="shared" si="106"/>
        <v/>
      </c>
      <c r="BB467" s="609" t="str">
        <f t="shared" si="106"/>
        <v/>
      </c>
      <c r="BC467" s="609" t="str">
        <f t="shared" si="105"/>
        <v/>
      </c>
      <c r="BD467" s="609" t="str">
        <f t="shared" si="105"/>
        <v/>
      </c>
      <c r="BE467" s="609" t="str">
        <f t="shared" si="105"/>
        <v/>
      </c>
      <c r="BF467" s="609" t="str">
        <f t="shared" si="105"/>
        <v/>
      </c>
      <c r="BG467" s="609" t="str">
        <f t="shared" si="105"/>
        <v/>
      </c>
    </row>
    <row r="468" spans="2:59" x14ac:dyDescent="0.25">
      <c r="B468" s="654">
        <v>462</v>
      </c>
      <c r="C468" s="654"/>
      <c r="D468" s="654"/>
      <c r="E468" s="655"/>
      <c r="F468" s="654"/>
      <c r="H468" s="609" t="str">
        <f t="shared" si="104"/>
        <v/>
      </c>
      <c r="I468" s="609" t="str">
        <f t="shared" si="104"/>
        <v/>
      </c>
      <c r="J468" s="609" t="str">
        <f t="shared" si="104"/>
        <v/>
      </c>
      <c r="K468" s="609" t="str">
        <f t="shared" si="104"/>
        <v/>
      </c>
      <c r="L468" s="609" t="str">
        <f t="shared" si="104"/>
        <v/>
      </c>
      <c r="M468" s="609" t="str">
        <f t="shared" si="104"/>
        <v/>
      </c>
      <c r="N468" s="609" t="str">
        <f t="shared" si="104"/>
        <v/>
      </c>
      <c r="O468" s="609" t="str">
        <f t="shared" si="104"/>
        <v/>
      </c>
      <c r="P468" s="609" t="str">
        <f t="shared" si="104"/>
        <v/>
      </c>
      <c r="Q468" s="609" t="str">
        <f t="shared" si="104"/>
        <v/>
      </c>
      <c r="R468" s="609" t="str">
        <f t="shared" si="104"/>
        <v/>
      </c>
      <c r="S468" s="609" t="str">
        <f t="shared" si="104"/>
        <v/>
      </c>
      <c r="T468" s="609" t="str">
        <f t="shared" si="104"/>
        <v/>
      </c>
      <c r="U468" s="609" t="str">
        <f t="shared" si="104"/>
        <v/>
      </c>
      <c r="V468" s="609" t="str">
        <f t="shared" si="104"/>
        <v/>
      </c>
      <c r="W468" s="609" t="str">
        <f t="shared" si="104"/>
        <v/>
      </c>
      <c r="X468" s="609" t="str">
        <f t="shared" si="103"/>
        <v/>
      </c>
      <c r="Y468" s="609" t="str">
        <f t="shared" si="103"/>
        <v/>
      </c>
      <c r="Z468" s="609" t="str">
        <f t="shared" si="103"/>
        <v/>
      </c>
      <c r="AA468" s="609" t="str">
        <f t="shared" si="103"/>
        <v/>
      </c>
      <c r="AB468" s="609" t="str">
        <f t="shared" si="103"/>
        <v/>
      </c>
      <c r="AC468" s="609" t="str">
        <f t="shared" si="103"/>
        <v/>
      </c>
      <c r="AD468" s="609" t="str">
        <f t="shared" si="103"/>
        <v/>
      </c>
      <c r="AE468" s="609" t="str">
        <f t="shared" si="103"/>
        <v/>
      </c>
      <c r="AF468" s="609" t="str">
        <f t="shared" si="103"/>
        <v/>
      </c>
      <c r="AG468" s="609" t="str">
        <f t="shared" si="103"/>
        <v/>
      </c>
      <c r="AH468" s="609" t="str">
        <f t="shared" si="103"/>
        <v/>
      </c>
      <c r="AI468" s="609" t="str">
        <f t="shared" si="103"/>
        <v/>
      </c>
      <c r="AJ468" s="609" t="str">
        <f t="shared" si="103"/>
        <v/>
      </c>
      <c r="AK468" s="609" t="str">
        <f t="shared" si="103"/>
        <v/>
      </c>
      <c r="AL468" s="609" t="str">
        <f t="shared" si="103"/>
        <v/>
      </c>
      <c r="AM468" s="609" t="str">
        <f t="shared" si="106"/>
        <v/>
      </c>
      <c r="AN468" s="609" t="str">
        <f t="shared" si="106"/>
        <v/>
      </c>
      <c r="AO468" s="609" t="str">
        <f t="shared" si="106"/>
        <v/>
      </c>
      <c r="AP468" s="609" t="str">
        <f t="shared" si="106"/>
        <v/>
      </c>
      <c r="AQ468" s="609" t="str">
        <f t="shared" si="106"/>
        <v/>
      </c>
      <c r="AR468" s="609" t="str">
        <f t="shared" si="106"/>
        <v/>
      </c>
      <c r="AS468" s="609" t="str">
        <f t="shared" si="106"/>
        <v/>
      </c>
      <c r="AT468" s="609" t="str">
        <f t="shared" si="106"/>
        <v/>
      </c>
      <c r="AU468" s="609" t="str">
        <f t="shared" si="106"/>
        <v/>
      </c>
      <c r="AV468" s="609" t="str">
        <f t="shared" si="106"/>
        <v/>
      </c>
      <c r="AW468" s="609" t="str">
        <f t="shared" si="106"/>
        <v/>
      </c>
      <c r="AX468" s="609" t="str">
        <f t="shared" si="106"/>
        <v/>
      </c>
      <c r="AY468" s="609" t="str">
        <f t="shared" si="106"/>
        <v/>
      </c>
      <c r="AZ468" s="609" t="str">
        <f t="shared" si="106"/>
        <v/>
      </c>
      <c r="BA468" s="609" t="str">
        <f t="shared" si="106"/>
        <v/>
      </c>
      <c r="BB468" s="609" t="str">
        <f t="shared" si="106"/>
        <v/>
      </c>
      <c r="BC468" s="609" t="str">
        <f t="shared" si="105"/>
        <v/>
      </c>
      <c r="BD468" s="609" t="str">
        <f t="shared" si="105"/>
        <v/>
      </c>
      <c r="BE468" s="609" t="str">
        <f t="shared" si="105"/>
        <v/>
      </c>
      <c r="BF468" s="609" t="str">
        <f t="shared" si="105"/>
        <v/>
      </c>
      <c r="BG468" s="609" t="str">
        <f t="shared" si="105"/>
        <v/>
      </c>
    </row>
    <row r="469" spans="2:59" x14ac:dyDescent="0.25">
      <c r="B469" s="654">
        <v>463</v>
      </c>
      <c r="C469" s="654"/>
      <c r="D469" s="654"/>
      <c r="E469" s="655"/>
      <c r="F469" s="654"/>
      <c r="H469" s="609" t="str">
        <f t="shared" si="104"/>
        <v/>
      </c>
      <c r="I469" s="609" t="str">
        <f t="shared" si="104"/>
        <v/>
      </c>
      <c r="J469" s="609" t="str">
        <f t="shared" si="104"/>
        <v/>
      </c>
      <c r="K469" s="609" t="str">
        <f t="shared" si="104"/>
        <v/>
      </c>
      <c r="L469" s="609" t="str">
        <f t="shared" si="104"/>
        <v/>
      </c>
      <c r="M469" s="609" t="str">
        <f t="shared" si="104"/>
        <v/>
      </c>
      <c r="N469" s="609" t="str">
        <f t="shared" si="104"/>
        <v/>
      </c>
      <c r="O469" s="609" t="str">
        <f t="shared" si="104"/>
        <v/>
      </c>
      <c r="P469" s="609" t="str">
        <f t="shared" si="104"/>
        <v/>
      </c>
      <c r="Q469" s="609" t="str">
        <f t="shared" si="104"/>
        <v/>
      </c>
      <c r="R469" s="609" t="str">
        <f t="shared" si="104"/>
        <v/>
      </c>
      <c r="S469" s="609" t="str">
        <f t="shared" si="104"/>
        <v/>
      </c>
      <c r="T469" s="609" t="str">
        <f t="shared" si="104"/>
        <v/>
      </c>
      <c r="U469" s="609" t="str">
        <f t="shared" si="104"/>
        <v/>
      </c>
      <c r="V469" s="609" t="str">
        <f t="shared" si="104"/>
        <v/>
      </c>
      <c r="W469" s="609" t="str">
        <f t="shared" ref="W469:AL484" si="107">IF($D469=W$6,$B469&amp;", ","")</f>
        <v/>
      </c>
      <c r="X469" s="609" t="str">
        <f t="shared" si="107"/>
        <v/>
      </c>
      <c r="Y469" s="609" t="str">
        <f t="shared" si="107"/>
        <v/>
      </c>
      <c r="Z469" s="609" t="str">
        <f t="shared" si="107"/>
        <v/>
      </c>
      <c r="AA469" s="609" t="str">
        <f t="shared" si="107"/>
        <v/>
      </c>
      <c r="AB469" s="609" t="str">
        <f t="shared" si="107"/>
        <v/>
      </c>
      <c r="AC469" s="609" t="str">
        <f t="shared" si="107"/>
        <v/>
      </c>
      <c r="AD469" s="609" t="str">
        <f t="shared" si="107"/>
        <v/>
      </c>
      <c r="AE469" s="609" t="str">
        <f t="shared" si="107"/>
        <v/>
      </c>
      <c r="AF469" s="609" t="str">
        <f t="shared" si="107"/>
        <v/>
      </c>
      <c r="AG469" s="609" t="str">
        <f t="shared" si="107"/>
        <v/>
      </c>
      <c r="AH469" s="609" t="str">
        <f t="shared" si="107"/>
        <v/>
      </c>
      <c r="AI469" s="609" t="str">
        <f t="shared" si="107"/>
        <v/>
      </c>
      <c r="AJ469" s="609" t="str">
        <f t="shared" si="107"/>
        <v/>
      </c>
      <c r="AK469" s="609" t="str">
        <f t="shared" si="107"/>
        <v/>
      </c>
      <c r="AL469" s="609" t="str">
        <f t="shared" si="107"/>
        <v/>
      </c>
      <c r="AM469" s="609" t="str">
        <f t="shared" si="106"/>
        <v/>
      </c>
      <c r="AN469" s="609" t="str">
        <f t="shared" si="106"/>
        <v/>
      </c>
      <c r="AO469" s="609" t="str">
        <f t="shared" si="106"/>
        <v/>
      </c>
      <c r="AP469" s="609" t="str">
        <f t="shared" si="106"/>
        <v/>
      </c>
      <c r="AQ469" s="609" t="str">
        <f t="shared" si="106"/>
        <v/>
      </c>
      <c r="AR469" s="609" t="str">
        <f t="shared" si="106"/>
        <v/>
      </c>
      <c r="AS469" s="609" t="str">
        <f t="shared" si="106"/>
        <v/>
      </c>
      <c r="AT469" s="609" t="str">
        <f t="shared" si="106"/>
        <v/>
      </c>
      <c r="AU469" s="609" t="str">
        <f t="shared" si="106"/>
        <v/>
      </c>
      <c r="AV469" s="609" t="str">
        <f t="shared" si="106"/>
        <v/>
      </c>
      <c r="AW469" s="609" t="str">
        <f t="shared" si="106"/>
        <v/>
      </c>
      <c r="AX469" s="609" t="str">
        <f t="shared" si="106"/>
        <v/>
      </c>
      <c r="AY469" s="609" t="str">
        <f t="shared" si="106"/>
        <v/>
      </c>
      <c r="AZ469" s="609" t="str">
        <f t="shared" si="106"/>
        <v/>
      </c>
      <c r="BA469" s="609" t="str">
        <f t="shared" si="106"/>
        <v/>
      </c>
      <c r="BB469" s="609" t="str">
        <f t="shared" si="106"/>
        <v/>
      </c>
      <c r="BC469" s="609" t="str">
        <f t="shared" si="105"/>
        <v/>
      </c>
      <c r="BD469" s="609" t="str">
        <f t="shared" si="105"/>
        <v/>
      </c>
      <c r="BE469" s="609" t="str">
        <f t="shared" si="105"/>
        <v/>
      </c>
      <c r="BF469" s="609" t="str">
        <f t="shared" si="105"/>
        <v/>
      </c>
      <c r="BG469" s="609" t="str">
        <f t="shared" si="105"/>
        <v/>
      </c>
    </row>
    <row r="470" spans="2:59" x14ac:dyDescent="0.25">
      <c r="B470" s="654">
        <v>464</v>
      </c>
      <c r="C470" s="654"/>
      <c r="D470" s="654"/>
      <c r="E470" s="655"/>
      <c r="F470" s="654"/>
      <c r="H470" s="609" t="str">
        <f t="shared" ref="H470:W485" si="108">IF($D470=H$6,$B470&amp;", ","")</f>
        <v/>
      </c>
      <c r="I470" s="609" t="str">
        <f t="shared" si="108"/>
        <v/>
      </c>
      <c r="J470" s="609" t="str">
        <f t="shared" si="108"/>
        <v/>
      </c>
      <c r="K470" s="609" t="str">
        <f t="shared" si="108"/>
        <v/>
      </c>
      <c r="L470" s="609" t="str">
        <f t="shared" si="108"/>
        <v/>
      </c>
      <c r="M470" s="609" t="str">
        <f t="shared" si="108"/>
        <v/>
      </c>
      <c r="N470" s="609" t="str">
        <f t="shared" si="108"/>
        <v/>
      </c>
      <c r="O470" s="609" t="str">
        <f t="shared" si="108"/>
        <v/>
      </c>
      <c r="P470" s="609" t="str">
        <f t="shared" si="108"/>
        <v/>
      </c>
      <c r="Q470" s="609" t="str">
        <f t="shared" si="108"/>
        <v/>
      </c>
      <c r="R470" s="609" t="str">
        <f t="shared" si="108"/>
        <v/>
      </c>
      <c r="S470" s="609" t="str">
        <f t="shared" si="108"/>
        <v/>
      </c>
      <c r="T470" s="609" t="str">
        <f t="shared" si="108"/>
        <v/>
      </c>
      <c r="U470" s="609" t="str">
        <f t="shared" si="108"/>
        <v/>
      </c>
      <c r="V470" s="609" t="str">
        <f t="shared" si="108"/>
        <v/>
      </c>
      <c r="W470" s="609" t="str">
        <f t="shared" si="108"/>
        <v/>
      </c>
      <c r="X470" s="609" t="str">
        <f t="shared" si="107"/>
        <v/>
      </c>
      <c r="Y470" s="609" t="str">
        <f t="shared" si="107"/>
        <v/>
      </c>
      <c r="Z470" s="609" t="str">
        <f t="shared" si="107"/>
        <v/>
      </c>
      <c r="AA470" s="609" t="str">
        <f t="shared" si="107"/>
        <v/>
      </c>
      <c r="AB470" s="609" t="str">
        <f t="shared" si="107"/>
        <v/>
      </c>
      <c r="AC470" s="609" t="str">
        <f t="shared" si="107"/>
        <v/>
      </c>
      <c r="AD470" s="609" t="str">
        <f t="shared" si="107"/>
        <v/>
      </c>
      <c r="AE470" s="609" t="str">
        <f t="shared" si="107"/>
        <v/>
      </c>
      <c r="AF470" s="609" t="str">
        <f t="shared" si="107"/>
        <v/>
      </c>
      <c r="AG470" s="609" t="str">
        <f t="shared" si="107"/>
        <v/>
      </c>
      <c r="AH470" s="609" t="str">
        <f t="shared" si="107"/>
        <v/>
      </c>
      <c r="AI470" s="609" t="str">
        <f t="shared" si="107"/>
        <v/>
      </c>
      <c r="AJ470" s="609" t="str">
        <f t="shared" si="107"/>
        <v/>
      </c>
      <c r="AK470" s="609" t="str">
        <f t="shared" si="107"/>
        <v/>
      </c>
      <c r="AL470" s="609" t="str">
        <f t="shared" si="107"/>
        <v/>
      </c>
      <c r="AM470" s="609" t="str">
        <f t="shared" si="106"/>
        <v/>
      </c>
      <c r="AN470" s="609" t="str">
        <f t="shared" si="106"/>
        <v/>
      </c>
      <c r="AO470" s="609" t="str">
        <f t="shared" si="106"/>
        <v/>
      </c>
      <c r="AP470" s="609" t="str">
        <f t="shared" si="106"/>
        <v/>
      </c>
      <c r="AQ470" s="609" t="str">
        <f t="shared" si="106"/>
        <v/>
      </c>
      <c r="AR470" s="609" t="str">
        <f t="shared" si="106"/>
        <v/>
      </c>
      <c r="AS470" s="609" t="str">
        <f t="shared" si="106"/>
        <v/>
      </c>
      <c r="AT470" s="609" t="str">
        <f t="shared" si="106"/>
        <v/>
      </c>
      <c r="AU470" s="609" t="str">
        <f t="shared" si="106"/>
        <v/>
      </c>
      <c r="AV470" s="609" t="str">
        <f t="shared" si="106"/>
        <v/>
      </c>
      <c r="AW470" s="609" t="str">
        <f t="shared" si="106"/>
        <v/>
      </c>
      <c r="AX470" s="609" t="str">
        <f t="shared" si="106"/>
        <v/>
      </c>
      <c r="AY470" s="609" t="str">
        <f t="shared" si="106"/>
        <v/>
      </c>
      <c r="AZ470" s="609" t="str">
        <f t="shared" si="106"/>
        <v/>
      </c>
      <c r="BA470" s="609" t="str">
        <f t="shared" si="106"/>
        <v/>
      </c>
      <c r="BB470" s="609" t="str">
        <f t="shared" si="106"/>
        <v/>
      </c>
      <c r="BC470" s="609" t="str">
        <f t="shared" si="105"/>
        <v/>
      </c>
      <c r="BD470" s="609" t="str">
        <f t="shared" si="105"/>
        <v/>
      </c>
      <c r="BE470" s="609" t="str">
        <f t="shared" si="105"/>
        <v/>
      </c>
      <c r="BF470" s="609" t="str">
        <f t="shared" si="105"/>
        <v/>
      </c>
      <c r="BG470" s="609" t="str">
        <f t="shared" si="105"/>
        <v/>
      </c>
    </row>
    <row r="471" spans="2:59" x14ac:dyDescent="0.25">
      <c r="B471" s="654">
        <v>465</v>
      </c>
      <c r="C471" s="654"/>
      <c r="D471" s="654"/>
      <c r="E471" s="655"/>
      <c r="F471" s="654"/>
      <c r="H471" s="609" t="str">
        <f t="shared" si="108"/>
        <v/>
      </c>
      <c r="I471" s="609" t="str">
        <f t="shared" si="108"/>
        <v/>
      </c>
      <c r="J471" s="609" t="str">
        <f t="shared" si="108"/>
        <v/>
      </c>
      <c r="K471" s="609" t="str">
        <f t="shared" si="108"/>
        <v/>
      </c>
      <c r="L471" s="609" t="str">
        <f t="shared" si="108"/>
        <v/>
      </c>
      <c r="M471" s="609" t="str">
        <f t="shared" si="108"/>
        <v/>
      </c>
      <c r="N471" s="609" t="str">
        <f t="shared" si="108"/>
        <v/>
      </c>
      <c r="O471" s="609" t="str">
        <f t="shared" si="108"/>
        <v/>
      </c>
      <c r="P471" s="609" t="str">
        <f t="shared" si="108"/>
        <v/>
      </c>
      <c r="Q471" s="609" t="str">
        <f t="shared" si="108"/>
        <v/>
      </c>
      <c r="R471" s="609" t="str">
        <f t="shared" si="108"/>
        <v/>
      </c>
      <c r="S471" s="609" t="str">
        <f t="shared" si="108"/>
        <v/>
      </c>
      <c r="T471" s="609" t="str">
        <f t="shared" si="108"/>
        <v/>
      </c>
      <c r="U471" s="609" t="str">
        <f t="shared" si="108"/>
        <v/>
      </c>
      <c r="V471" s="609" t="str">
        <f t="shared" si="108"/>
        <v/>
      </c>
      <c r="W471" s="609" t="str">
        <f t="shared" si="108"/>
        <v/>
      </c>
      <c r="X471" s="609" t="str">
        <f t="shared" si="107"/>
        <v/>
      </c>
      <c r="Y471" s="609" t="str">
        <f t="shared" si="107"/>
        <v/>
      </c>
      <c r="Z471" s="609" t="str">
        <f t="shared" si="107"/>
        <v/>
      </c>
      <c r="AA471" s="609" t="str">
        <f t="shared" si="107"/>
        <v/>
      </c>
      <c r="AB471" s="609" t="str">
        <f t="shared" si="107"/>
        <v/>
      </c>
      <c r="AC471" s="609" t="str">
        <f t="shared" si="107"/>
        <v/>
      </c>
      <c r="AD471" s="609" t="str">
        <f t="shared" si="107"/>
        <v/>
      </c>
      <c r="AE471" s="609" t="str">
        <f t="shared" si="107"/>
        <v/>
      </c>
      <c r="AF471" s="609" t="str">
        <f t="shared" si="107"/>
        <v/>
      </c>
      <c r="AG471" s="609" t="str">
        <f t="shared" si="107"/>
        <v/>
      </c>
      <c r="AH471" s="609" t="str">
        <f t="shared" si="107"/>
        <v/>
      </c>
      <c r="AI471" s="609" t="str">
        <f t="shared" si="107"/>
        <v/>
      </c>
      <c r="AJ471" s="609" t="str">
        <f t="shared" si="107"/>
        <v/>
      </c>
      <c r="AK471" s="609" t="str">
        <f t="shared" si="107"/>
        <v/>
      </c>
      <c r="AL471" s="609" t="str">
        <f t="shared" si="107"/>
        <v/>
      </c>
      <c r="AM471" s="609" t="str">
        <f t="shared" si="106"/>
        <v/>
      </c>
      <c r="AN471" s="609" t="str">
        <f t="shared" si="106"/>
        <v/>
      </c>
      <c r="AO471" s="609" t="str">
        <f t="shared" si="106"/>
        <v/>
      </c>
      <c r="AP471" s="609" t="str">
        <f t="shared" si="106"/>
        <v/>
      </c>
      <c r="AQ471" s="609" t="str">
        <f t="shared" si="106"/>
        <v/>
      </c>
      <c r="AR471" s="609" t="str">
        <f t="shared" si="106"/>
        <v/>
      </c>
      <c r="AS471" s="609" t="str">
        <f t="shared" si="106"/>
        <v/>
      </c>
      <c r="AT471" s="609" t="str">
        <f t="shared" si="106"/>
        <v/>
      </c>
      <c r="AU471" s="609" t="str">
        <f t="shared" si="106"/>
        <v/>
      </c>
      <c r="AV471" s="609" t="str">
        <f t="shared" si="106"/>
        <v/>
      </c>
      <c r="AW471" s="609" t="str">
        <f t="shared" si="106"/>
        <v/>
      </c>
      <c r="AX471" s="609" t="str">
        <f t="shared" si="106"/>
        <v/>
      </c>
      <c r="AY471" s="609" t="str">
        <f t="shared" si="106"/>
        <v/>
      </c>
      <c r="AZ471" s="609" t="str">
        <f t="shared" si="106"/>
        <v/>
      </c>
      <c r="BA471" s="609" t="str">
        <f t="shared" si="106"/>
        <v/>
      </c>
      <c r="BB471" s="609" t="str">
        <f t="shared" si="106"/>
        <v/>
      </c>
      <c r="BC471" s="609" t="str">
        <f t="shared" si="105"/>
        <v/>
      </c>
      <c r="BD471" s="609" t="str">
        <f t="shared" si="105"/>
        <v/>
      </c>
      <c r="BE471" s="609" t="str">
        <f t="shared" si="105"/>
        <v/>
      </c>
      <c r="BF471" s="609" t="str">
        <f t="shared" si="105"/>
        <v/>
      </c>
      <c r="BG471" s="609" t="str">
        <f t="shared" si="105"/>
        <v/>
      </c>
    </row>
    <row r="472" spans="2:59" x14ac:dyDescent="0.25">
      <c r="B472" s="654">
        <v>466</v>
      </c>
      <c r="C472" s="654"/>
      <c r="D472" s="654"/>
      <c r="E472" s="655"/>
      <c r="F472" s="654"/>
      <c r="H472" s="609" t="str">
        <f t="shared" si="108"/>
        <v/>
      </c>
      <c r="I472" s="609" t="str">
        <f t="shared" si="108"/>
        <v/>
      </c>
      <c r="J472" s="609" t="str">
        <f t="shared" si="108"/>
        <v/>
      </c>
      <c r="K472" s="609" t="str">
        <f t="shared" si="108"/>
        <v/>
      </c>
      <c r="L472" s="609" t="str">
        <f t="shared" si="108"/>
        <v/>
      </c>
      <c r="M472" s="609" t="str">
        <f t="shared" si="108"/>
        <v/>
      </c>
      <c r="N472" s="609" t="str">
        <f t="shared" si="108"/>
        <v/>
      </c>
      <c r="O472" s="609" t="str">
        <f t="shared" si="108"/>
        <v/>
      </c>
      <c r="P472" s="609" t="str">
        <f t="shared" si="108"/>
        <v/>
      </c>
      <c r="Q472" s="609" t="str">
        <f t="shared" si="108"/>
        <v/>
      </c>
      <c r="R472" s="609" t="str">
        <f t="shared" si="108"/>
        <v/>
      </c>
      <c r="S472" s="609" t="str">
        <f t="shared" si="108"/>
        <v/>
      </c>
      <c r="T472" s="609" t="str">
        <f t="shared" si="108"/>
        <v/>
      </c>
      <c r="U472" s="609" t="str">
        <f t="shared" si="108"/>
        <v/>
      </c>
      <c r="V472" s="609" t="str">
        <f t="shared" si="108"/>
        <v/>
      </c>
      <c r="W472" s="609" t="str">
        <f t="shared" si="108"/>
        <v/>
      </c>
      <c r="X472" s="609" t="str">
        <f t="shared" si="107"/>
        <v/>
      </c>
      <c r="Y472" s="609" t="str">
        <f t="shared" si="107"/>
        <v/>
      </c>
      <c r="Z472" s="609" t="str">
        <f t="shared" si="107"/>
        <v/>
      </c>
      <c r="AA472" s="609" t="str">
        <f t="shared" si="107"/>
        <v/>
      </c>
      <c r="AB472" s="609" t="str">
        <f t="shared" si="107"/>
        <v/>
      </c>
      <c r="AC472" s="609" t="str">
        <f t="shared" si="107"/>
        <v/>
      </c>
      <c r="AD472" s="609" t="str">
        <f t="shared" si="107"/>
        <v/>
      </c>
      <c r="AE472" s="609" t="str">
        <f t="shared" si="107"/>
        <v/>
      </c>
      <c r="AF472" s="609" t="str">
        <f t="shared" si="107"/>
        <v/>
      </c>
      <c r="AG472" s="609" t="str">
        <f t="shared" si="107"/>
        <v/>
      </c>
      <c r="AH472" s="609" t="str">
        <f t="shared" si="107"/>
        <v/>
      </c>
      <c r="AI472" s="609" t="str">
        <f t="shared" si="107"/>
        <v/>
      </c>
      <c r="AJ472" s="609" t="str">
        <f t="shared" si="107"/>
        <v/>
      </c>
      <c r="AK472" s="609" t="str">
        <f t="shared" si="107"/>
        <v/>
      </c>
      <c r="AL472" s="609" t="str">
        <f t="shared" si="107"/>
        <v/>
      </c>
      <c r="AM472" s="609" t="str">
        <f t="shared" si="106"/>
        <v/>
      </c>
      <c r="AN472" s="609" t="str">
        <f t="shared" si="106"/>
        <v/>
      </c>
      <c r="AO472" s="609" t="str">
        <f t="shared" si="106"/>
        <v/>
      </c>
      <c r="AP472" s="609" t="str">
        <f t="shared" si="106"/>
        <v/>
      </c>
      <c r="AQ472" s="609" t="str">
        <f t="shared" si="106"/>
        <v/>
      </c>
      <c r="AR472" s="609" t="str">
        <f t="shared" si="106"/>
        <v/>
      </c>
      <c r="AS472" s="609" t="str">
        <f t="shared" si="106"/>
        <v/>
      </c>
      <c r="AT472" s="609" t="str">
        <f t="shared" si="106"/>
        <v/>
      </c>
      <c r="AU472" s="609" t="str">
        <f t="shared" si="106"/>
        <v/>
      </c>
      <c r="AV472" s="609" t="str">
        <f t="shared" si="106"/>
        <v/>
      </c>
      <c r="AW472" s="609" t="str">
        <f t="shared" si="106"/>
        <v/>
      </c>
      <c r="AX472" s="609" t="str">
        <f t="shared" si="106"/>
        <v/>
      </c>
      <c r="AY472" s="609" t="str">
        <f t="shared" si="106"/>
        <v/>
      </c>
      <c r="AZ472" s="609" t="str">
        <f t="shared" si="106"/>
        <v/>
      </c>
      <c r="BA472" s="609" t="str">
        <f t="shared" si="106"/>
        <v/>
      </c>
      <c r="BB472" s="609" t="str">
        <f t="shared" si="106"/>
        <v/>
      </c>
      <c r="BC472" s="609" t="str">
        <f t="shared" si="105"/>
        <v/>
      </c>
      <c r="BD472" s="609" t="str">
        <f t="shared" si="105"/>
        <v/>
      </c>
      <c r="BE472" s="609" t="str">
        <f t="shared" si="105"/>
        <v/>
      </c>
      <c r="BF472" s="609" t="str">
        <f t="shared" si="105"/>
        <v/>
      </c>
      <c r="BG472" s="609" t="str">
        <f t="shared" si="105"/>
        <v/>
      </c>
    </row>
    <row r="473" spans="2:59" x14ac:dyDescent="0.25">
      <c r="B473" s="654">
        <v>467</v>
      </c>
      <c r="C473" s="654"/>
      <c r="D473" s="654"/>
      <c r="E473" s="655"/>
      <c r="F473" s="654"/>
      <c r="H473" s="609" t="str">
        <f t="shared" si="108"/>
        <v/>
      </c>
      <c r="I473" s="609" t="str">
        <f t="shared" si="108"/>
        <v/>
      </c>
      <c r="J473" s="609" t="str">
        <f t="shared" si="108"/>
        <v/>
      </c>
      <c r="K473" s="609" t="str">
        <f t="shared" si="108"/>
        <v/>
      </c>
      <c r="L473" s="609" t="str">
        <f t="shared" si="108"/>
        <v/>
      </c>
      <c r="M473" s="609" t="str">
        <f t="shared" si="108"/>
        <v/>
      </c>
      <c r="N473" s="609" t="str">
        <f t="shared" si="108"/>
        <v/>
      </c>
      <c r="O473" s="609" t="str">
        <f t="shared" si="108"/>
        <v/>
      </c>
      <c r="P473" s="609" t="str">
        <f t="shared" si="108"/>
        <v/>
      </c>
      <c r="Q473" s="609" t="str">
        <f t="shared" si="108"/>
        <v/>
      </c>
      <c r="R473" s="609" t="str">
        <f t="shared" si="108"/>
        <v/>
      </c>
      <c r="S473" s="609" t="str">
        <f t="shared" si="108"/>
        <v/>
      </c>
      <c r="T473" s="609" t="str">
        <f t="shared" si="108"/>
        <v/>
      </c>
      <c r="U473" s="609" t="str">
        <f t="shared" si="108"/>
        <v/>
      </c>
      <c r="V473" s="609" t="str">
        <f t="shared" si="108"/>
        <v/>
      </c>
      <c r="W473" s="609" t="str">
        <f t="shared" si="108"/>
        <v/>
      </c>
      <c r="X473" s="609" t="str">
        <f t="shared" si="107"/>
        <v/>
      </c>
      <c r="Y473" s="609" t="str">
        <f t="shared" si="107"/>
        <v/>
      </c>
      <c r="Z473" s="609" t="str">
        <f t="shared" si="107"/>
        <v/>
      </c>
      <c r="AA473" s="609" t="str">
        <f t="shared" si="107"/>
        <v/>
      </c>
      <c r="AB473" s="609" t="str">
        <f t="shared" si="107"/>
        <v/>
      </c>
      <c r="AC473" s="609" t="str">
        <f t="shared" si="107"/>
        <v/>
      </c>
      <c r="AD473" s="609" t="str">
        <f t="shared" si="107"/>
        <v/>
      </c>
      <c r="AE473" s="609" t="str">
        <f t="shared" si="107"/>
        <v/>
      </c>
      <c r="AF473" s="609" t="str">
        <f t="shared" si="107"/>
        <v/>
      </c>
      <c r="AG473" s="609" t="str">
        <f t="shared" si="107"/>
        <v/>
      </c>
      <c r="AH473" s="609" t="str">
        <f t="shared" si="107"/>
        <v/>
      </c>
      <c r="AI473" s="609" t="str">
        <f t="shared" si="107"/>
        <v/>
      </c>
      <c r="AJ473" s="609" t="str">
        <f t="shared" si="107"/>
        <v/>
      </c>
      <c r="AK473" s="609" t="str">
        <f t="shared" si="107"/>
        <v/>
      </c>
      <c r="AL473" s="609" t="str">
        <f t="shared" si="107"/>
        <v/>
      </c>
      <c r="AM473" s="609" t="str">
        <f t="shared" si="106"/>
        <v/>
      </c>
      <c r="AN473" s="609" t="str">
        <f t="shared" si="106"/>
        <v/>
      </c>
      <c r="AO473" s="609" t="str">
        <f t="shared" si="106"/>
        <v/>
      </c>
      <c r="AP473" s="609" t="str">
        <f t="shared" si="106"/>
        <v/>
      </c>
      <c r="AQ473" s="609" t="str">
        <f t="shared" si="106"/>
        <v/>
      </c>
      <c r="AR473" s="609" t="str">
        <f t="shared" si="106"/>
        <v/>
      </c>
      <c r="AS473" s="609" t="str">
        <f t="shared" si="106"/>
        <v/>
      </c>
      <c r="AT473" s="609" t="str">
        <f t="shared" si="106"/>
        <v/>
      </c>
      <c r="AU473" s="609" t="str">
        <f t="shared" si="106"/>
        <v/>
      </c>
      <c r="AV473" s="609" t="str">
        <f t="shared" si="106"/>
        <v/>
      </c>
      <c r="AW473" s="609" t="str">
        <f t="shared" si="106"/>
        <v/>
      </c>
      <c r="AX473" s="609" t="str">
        <f t="shared" si="106"/>
        <v/>
      </c>
      <c r="AY473" s="609" t="str">
        <f t="shared" si="106"/>
        <v/>
      </c>
      <c r="AZ473" s="609" t="str">
        <f t="shared" si="106"/>
        <v/>
      </c>
      <c r="BA473" s="609" t="str">
        <f t="shared" si="106"/>
        <v/>
      </c>
      <c r="BB473" s="609" t="str">
        <f t="shared" si="106"/>
        <v/>
      </c>
      <c r="BC473" s="609" t="str">
        <f t="shared" si="105"/>
        <v/>
      </c>
      <c r="BD473" s="609" t="str">
        <f t="shared" si="105"/>
        <v/>
      </c>
      <c r="BE473" s="609" t="str">
        <f t="shared" si="105"/>
        <v/>
      </c>
      <c r="BF473" s="609" t="str">
        <f t="shared" si="105"/>
        <v/>
      </c>
      <c r="BG473" s="609" t="str">
        <f t="shared" si="105"/>
        <v/>
      </c>
    </row>
    <row r="474" spans="2:59" x14ac:dyDescent="0.25">
      <c r="B474" s="654">
        <v>468</v>
      </c>
      <c r="C474" s="654"/>
      <c r="D474" s="654"/>
      <c r="E474" s="655"/>
      <c r="F474" s="654"/>
      <c r="H474" s="609" t="str">
        <f t="shared" si="108"/>
        <v/>
      </c>
      <c r="I474" s="609" t="str">
        <f t="shared" si="108"/>
        <v/>
      </c>
      <c r="J474" s="609" t="str">
        <f t="shared" si="108"/>
        <v/>
      </c>
      <c r="K474" s="609" t="str">
        <f t="shared" si="108"/>
        <v/>
      </c>
      <c r="L474" s="609" t="str">
        <f t="shared" si="108"/>
        <v/>
      </c>
      <c r="M474" s="609" t="str">
        <f t="shared" si="108"/>
        <v/>
      </c>
      <c r="N474" s="609" t="str">
        <f t="shared" si="108"/>
        <v/>
      </c>
      <c r="O474" s="609" t="str">
        <f t="shared" si="108"/>
        <v/>
      </c>
      <c r="P474" s="609" t="str">
        <f t="shared" si="108"/>
        <v/>
      </c>
      <c r="Q474" s="609" t="str">
        <f t="shared" si="108"/>
        <v/>
      </c>
      <c r="R474" s="609" t="str">
        <f t="shared" si="108"/>
        <v/>
      </c>
      <c r="S474" s="609" t="str">
        <f t="shared" si="108"/>
        <v/>
      </c>
      <c r="T474" s="609" t="str">
        <f t="shared" si="108"/>
        <v/>
      </c>
      <c r="U474" s="609" t="str">
        <f t="shared" si="108"/>
        <v/>
      </c>
      <c r="V474" s="609" t="str">
        <f t="shared" si="108"/>
        <v/>
      </c>
      <c r="W474" s="609" t="str">
        <f t="shared" si="108"/>
        <v/>
      </c>
      <c r="X474" s="609" t="str">
        <f t="shared" si="107"/>
        <v/>
      </c>
      <c r="Y474" s="609" t="str">
        <f t="shared" si="107"/>
        <v/>
      </c>
      <c r="Z474" s="609" t="str">
        <f t="shared" si="107"/>
        <v/>
      </c>
      <c r="AA474" s="609" t="str">
        <f t="shared" si="107"/>
        <v/>
      </c>
      <c r="AB474" s="609" t="str">
        <f t="shared" si="107"/>
        <v/>
      </c>
      <c r="AC474" s="609" t="str">
        <f t="shared" si="107"/>
        <v/>
      </c>
      <c r="AD474" s="609" t="str">
        <f t="shared" si="107"/>
        <v/>
      </c>
      <c r="AE474" s="609" t="str">
        <f t="shared" si="107"/>
        <v/>
      </c>
      <c r="AF474" s="609" t="str">
        <f t="shared" si="107"/>
        <v/>
      </c>
      <c r="AG474" s="609" t="str">
        <f t="shared" si="107"/>
        <v/>
      </c>
      <c r="AH474" s="609" t="str">
        <f t="shared" si="107"/>
        <v/>
      </c>
      <c r="AI474" s="609" t="str">
        <f t="shared" si="107"/>
        <v/>
      </c>
      <c r="AJ474" s="609" t="str">
        <f t="shared" si="107"/>
        <v/>
      </c>
      <c r="AK474" s="609" t="str">
        <f t="shared" si="107"/>
        <v/>
      </c>
      <c r="AL474" s="609" t="str">
        <f t="shared" si="107"/>
        <v/>
      </c>
      <c r="AM474" s="609" t="str">
        <f t="shared" si="106"/>
        <v/>
      </c>
      <c r="AN474" s="609" t="str">
        <f t="shared" si="106"/>
        <v/>
      </c>
      <c r="AO474" s="609" t="str">
        <f t="shared" si="106"/>
        <v/>
      </c>
      <c r="AP474" s="609" t="str">
        <f t="shared" si="106"/>
        <v/>
      </c>
      <c r="AQ474" s="609" t="str">
        <f t="shared" si="106"/>
        <v/>
      </c>
      <c r="AR474" s="609" t="str">
        <f t="shared" si="106"/>
        <v/>
      </c>
      <c r="AS474" s="609" t="str">
        <f t="shared" si="106"/>
        <v/>
      </c>
      <c r="AT474" s="609" t="str">
        <f t="shared" si="106"/>
        <v/>
      </c>
      <c r="AU474" s="609" t="str">
        <f t="shared" si="106"/>
        <v/>
      </c>
      <c r="AV474" s="609" t="str">
        <f t="shared" si="106"/>
        <v/>
      </c>
      <c r="AW474" s="609" t="str">
        <f t="shared" si="106"/>
        <v/>
      </c>
      <c r="AX474" s="609" t="str">
        <f t="shared" si="106"/>
        <v/>
      </c>
      <c r="AY474" s="609" t="str">
        <f t="shared" si="106"/>
        <v/>
      </c>
      <c r="AZ474" s="609" t="str">
        <f t="shared" si="106"/>
        <v/>
      </c>
      <c r="BA474" s="609" t="str">
        <f t="shared" si="106"/>
        <v/>
      </c>
      <c r="BB474" s="609" t="str">
        <f t="shared" ref="BB474:BG489" si="109">IF($D474=BB$6,$B474&amp;", ","")</f>
        <v/>
      </c>
      <c r="BC474" s="609" t="str">
        <f t="shared" si="109"/>
        <v/>
      </c>
      <c r="BD474" s="609" t="str">
        <f t="shared" si="109"/>
        <v/>
      </c>
      <c r="BE474" s="609" t="str">
        <f t="shared" si="109"/>
        <v/>
      </c>
      <c r="BF474" s="609" t="str">
        <f t="shared" si="109"/>
        <v/>
      </c>
      <c r="BG474" s="609" t="str">
        <f t="shared" si="109"/>
        <v/>
      </c>
    </row>
    <row r="475" spans="2:59" x14ac:dyDescent="0.25">
      <c r="B475" s="654">
        <v>469</v>
      </c>
      <c r="C475" s="654"/>
      <c r="D475" s="654"/>
      <c r="E475" s="655"/>
      <c r="F475" s="654"/>
      <c r="H475" s="609" t="str">
        <f t="shared" si="108"/>
        <v/>
      </c>
      <c r="I475" s="609" t="str">
        <f t="shared" si="108"/>
        <v/>
      </c>
      <c r="J475" s="609" t="str">
        <f t="shared" si="108"/>
        <v/>
      </c>
      <c r="K475" s="609" t="str">
        <f t="shared" si="108"/>
        <v/>
      </c>
      <c r="L475" s="609" t="str">
        <f t="shared" si="108"/>
        <v/>
      </c>
      <c r="M475" s="609" t="str">
        <f t="shared" si="108"/>
        <v/>
      </c>
      <c r="N475" s="609" t="str">
        <f t="shared" si="108"/>
        <v/>
      </c>
      <c r="O475" s="609" t="str">
        <f t="shared" si="108"/>
        <v/>
      </c>
      <c r="P475" s="609" t="str">
        <f t="shared" si="108"/>
        <v/>
      </c>
      <c r="Q475" s="609" t="str">
        <f t="shared" si="108"/>
        <v/>
      </c>
      <c r="R475" s="609" t="str">
        <f t="shared" si="108"/>
        <v/>
      </c>
      <c r="S475" s="609" t="str">
        <f t="shared" si="108"/>
        <v/>
      </c>
      <c r="T475" s="609" t="str">
        <f t="shared" si="108"/>
        <v/>
      </c>
      <c r="U475" s="609" t="str">
        <f t="shared" si="108"/>
        <v/>
      </c>
      <c r="V475" s="609" t="str">
        <f t="shared" si="108"/>
        <v/>
      </c>
      <c r="W475" s="609" t="str">
        <f t="shared" si="108"/>
        <v/>
      </c>
      <c r="X475" s="609" t="str">
        <f t="shared" si="107"/>
        <v/>
      </c>
      <c r="Y475" s="609" t="str">
        <f t="shared" si="107"/>
        <v/>
      </c>
      <c r="Z475" s="609" t="str">
        <f t="shared" si="107"/>
        <v/>
      </c>
      <c r="AA475" s="609" t="str">
        <f t="shared" si="107"/>
        <v/>
      </c>
      <c r="AB475" s="609" t="str">
        <f t="shared" si="107"/>
        <v/>
      </c>
      <c r="AC475" s="609" t="str">
        <f t="shared" si="107"/>
        <v/>
      </c>
      <c r="AD475" s="609" t="str">
        <f t="shared" si="107"/>
        <v/>
      </c>
      <c r="AE475" s="609" t="str">
        <f t="shared" si="107"/>
        <v/>
      </c>
      <c r="AF475" s="609" t="str">
        <f t="shared" si="107"/>
        <v/>
      </c>
      <c r="AG475" s="609" t="str">
        <f t="shared" si="107"/>
        <v/>
      </c>
      <c r="AH475" s="609" t="str">
        <f t="shared" si="107"/>
        <v/>
      </c>
      <c r="AI475" s="609" t="str">
        <f t="shared" si="107"/>
        <v/>
      </c>
      <c r="AJ475" s="609" t="str">
        <f t="shared" si="107"/>
        <v/>
      </c>
      <c r="AK475" s="609" t="str">
        <f t="shared" si="107"/>
        <v/>
      </c>
      <c r="AL475" s="609" t="str">
        <f t="shared" si="107"/>
        <v/>
      </c>
      <c r="AM475" s="609" t="str">
        <f t="shared" ref="AM475:BB490" si="110">IF($D475=AM$6,$B475&amp;", ","")</f>
        <v/>
      </c>
      <c r="AN475" s="609" t="str">
        <f t="shared" si="110"/>
        <v/>
      </c>
      <c r="AO475" s="609" t="str">
        <f t="shared" si="110"/>
        <v/>
      </c>
      <c r="AP475" s="609" t="str">
        <f t="shared" si="110"/>
        <v/>
      </c>
      <c r="AQ475" s="609" t="str">
        <f t="shared" si="110"/>
        <v/>
      </c>
      <c r="AR475" s="609" t="str">
        <f t="shared" si="110"/>
        <v/>
      </c>
      <c r="AS475" s="609" t="str">
        <f t="shared" si="110"/>
        <v/>
      </c>
      <c r="AT475" s="609" t="str">
        <f t="shared" si="110"/>
        <v/>
      </c>
      <c r="AU475" s="609" t="str">
        <f t="shared" si="110"/>
        <v/>
      </c>
      <c r="AV475" s="609" t="str">
        <f t="shared" si="110"/>
        <v/>
      </c>
      <c r="AW475" s="609" t="str">
        <f t="shared" si="110"/>
        <v/>
      </c>
      <c r="AX475" s="609" t="str">
        <f t="shared" si="110"/>
        <v/>
      </c>
      <c r="AY475" s="609" t="str">
        <f t="shared" si="110"/>
        <v/>
      </c>
      <c r="AZ475" s="609" t="str">
        <f t="shared" si="110"/>
        <v/>
      </c>
      <c r="BA475" s="609" t="str">
        <f t="shared" si="110"/>
        <v/>
      </c>
      <c r="BB475" s="609" t="str">
        <f t="shared" si="110"/>
        <v/>
      </c>
      <c r="BC475" s="609" t="str">
        <f t="shared" si="109"/>
        <v/>
      </c>
      <c r="BD475" s="609" t="str">
        <f t="shared" si="109"/>
        <v/>
      </c>
      <c r="BE475" s="609" t="str">
        <f t="shared" si="109"/>
        <v/>
      </c>
      <c r="BF475" s="609" t="str">
        <f t="shared" si="109"/>
        <v/>
      </c>
      <c r="BG475" s="609" t="str">
        <f t="shared" si="109"/>
        <v/>
      </c>
    </row>
    <row r="476" spans="2:59" x14ac:dyDescent="0.25">
      <c r="B476" s="654">
        <v>470</v>
      </c>
      <c r="C476" s="654"/>
      <c r="D476" s="654"/>
      <c r="E476" s="655"/>
      <c r="F476" s="654"/>
      <c r="H476" s="609" t="str">
        <f t="shared" si="108"/>
        <v/>
      </c>
      <c r="I476" s="609" t="str">
        <f t="shared" si="108"/>
        <v/>
      </c>
      <c r="J476" s="609" t="str">
        <f t="shared" si="108"/>
        <v/>
      </c>
      <c r="K476" s="609" t="str">
        <f t="shared" si="108"/>
        <v/>
      </c>
      <c r="L476" s="609" t="str">
        <f t="shared" si="108"/>
        <v/>
      </c>
      <c r="M476" s="609" t="str">
        <f t="shared" si="108"/>
        <v/>
      </c>
      <c r="N476" s="609" t="str">
        <f t="shared" si="108"/>
        <v/>
      </c>
      <c r="O476" s="609" t="str">
        <f t="shared" si="108"/>
        <v/>
      </c>
      <c r="P476" s="609" t="str">
        <f t="shared" si="108"/>
        <v/>
      </c>
      <c r="Q476" s="609" t="str">
        <f t="shared" si="108"/>
        <v/>
      </c>
      <c r="R476" s="609" t="str">
        <f t="shared" si="108"/>
        <v/>
      </c>
      <c r="S476" s="609" t="str">
        <f t="shared" si="108"/>
        <v/>
      </c>
      <c r="T476" s="609" t="str">
        <f t="shared" si="108"/>
        <v/>
      </c>
      <c r="U476" s="609" t="str">
        <f t="shared" si="108"/>
        <v/>
      </c>
      <c r="V476" s="609" t="str">
        <f t="shared" si="108"/>
        <v/>
      </c>
      <c r="W476" s="609" t="str">
        <f t="shared" si="108"/>
        <v/>
      </c>
      <c r="X476" s="609" t="str">
        <f t="shared" si="107"/>
        <v/>
      </c>
      <c r="Y476" s="609" t="str">
        <f t="shared" si="107"/>
        <v/>
      </c>
      <c r="Z476" s="609" t="str">
        <f t="shared" si="107"/>
        <v/>
      </c>
      <c r="AA476" s="609" t="str">
        <f t="shared" si="107"/>
        <v/>
      </c>
      <c r="AB476" s="609" t="str">
        <f t="shared" si="107"/>
        <v/>
      </c>
      <c r="AC476" s="609" t="str">
        <f t="shared" si="107"/>
        <v/>
      </c>
      <c r="AD476" s="609" t="str">
        <f t="shared" si="107"/>
        <v/>
      </c>
      <c r="AE476" s="609" t="str">
        <f t="shared" si="107"/>
        <v/>
      </c>
      <c r="AF476" s="609" t="str">
        <f t="shared" si="107"/>
        <v/>
      </c>
      <c r="AG476" s="609" t="str">
        <f t="shared" si="107"/>
        <v/>
      </c>
      <c r="AH476" s="609" t="str">
        <f t="shared" si="107"/>
        <v/>
      </c>
      <c r="AI476" s="609" t="str">
        <f t="shared" si="107"/>
        <v/>
      </c>
      <c r="AJ476" s="609" t="str">
        <f t="shared" si="107"/>
        <v/>
      </c>
      <c r="AK476" s="609" t="str">
        <f t="shared" si="107"/>
        <v/>
      </c>
      <c r="AL476" s="609" t="str">
        <f t="shared" si="107"/>
        <v/>
      </c>
      <c r="AM476" s="609" t="str">
        <f t="shared" si="110"/>
        <v/>
      </c>
      <c r="AN476" s="609" t="str">
        <f t="shared" si="110"/>
        <v/>
      </c>
      <c r="AO476" s="609" t="str">
        <f t="shared" si="110"/>
        <v/>
      </c>
      <c r="AP476" s="609" t="str">
        <f t="shared" si="110"/>
        <v/>
      </c>
      <c r="AQ476" s="609" t="str">
        <f t="shared" si="110"/>
        <v/>
      </c>
      <c r="AR476" s="609" t="str">
        <f t="shared" si="110"/>
        <v/>
      </c>
      <c r="AS476" s="609" t="str">
        <f t="shared" si="110"/>
        <v/>
      </c>
      <c r="AT476" s="609" t="str">
        <f t="shared" si="110"/>
        <v/>
      </c>
      <c r="AU476" s="609" t="str">
        <f t="shared" si="110"/>
        <v/>
      </c>
      <c r="AV476" s="609" t="str">
        <f t="shared" si="110"/>
        <v/>
      </c>
      <c r="AW476" s="609" t="str">
        <f t="shared" si="110"/>
        <v/>
      </c>
      <c r="AX476" s="609" t="str">
        <f t="shared" si="110"/>
        <v/>
      </c>
      <c r="AY476" s="609" t="str">
        <f t="shared" si="110"/>
        <v/>
      </c>
      <c r="AZ476" s="609" t="str">
        <f t="shared" si="110"/>
        <v/>
      </c>
      <c r="BA476" s="609" t="str">
        <f t="shared" si="110"/>
        <v/>
      </c>
      <c r="BB476" s="609" t="str">
        <f t="shared" si="110"/>
        <v/>
      </c>
      <c r="BC476" s="609" t="str">
        <f t="shared" si="109"/>
        <v/>
      </c>
      <c r="BD476" s="609" t="str">
        <f t="shared" si="109"/>
        <v/>
      </c>
      <c r="BE476" s="609" t="str">
        <f t="shared" si="109"/>
        <v/>
      </c>
      <c r="BF476" s="609" t="str">
        <f t="shared" si="109"/>
        <v/>
      </c>
      <c r="BG476" s="609" t="str">
        <f t="shared" si="109"/>
        <v/>
      </c>
    </row>
    <row r="477" spans="2:59" x14ac:dyDescent="0.25">
      <c r="B477" s="654">
        <v>471</v>
      </c>
      <c r="C477" s="654"/>
      <c r="D477" s="654"/>
      <c r="E477" s="655"/>
      <c r="F477" s="654"/>
      <c r="H477" s="609" t="str">
        <f t="shared" si="108"/>
        <v/>
      </c>
      <c r="I477" s="609" t="str">
        <f t="shared" si="108"/>
        <v/>
      </c>
      <c r="J477" s="609" t="str">
        <f t="shared" si="108"/>
        <v/>
      </c>
      <c r="K477" s="609" t="str">
        <f t="shared" si="108"/>
        <v/>
      </c>
      <c r="L477" s="609" t="str">
        <f t="shared" si="108"/>
        <v/>
      </c>
      <c r="M477" s="609" t="str">
        <f t="shared" si="108"/>
        <v/>
      </c>
      <c r="N477" s="609" t="str">
        <f t="shared" si="108"/>
        <v/>
      </c>
      <c r="O477" s="609" t="str">
        <f t="shared" si="108"/>
        <v/>
      </c>
      <c r="P477" s="609" t="str">
        <f t="shared" si="108"/>
        <v/>
      </c>
      <c r="Q477" s="609" t="str">
        <f t="shared" si="108"/>
        <v/>
      </c>
      <c r="R477" s="609" t="str">
        <f t="shared" si="108"/>
        <v/>
      </c>
      <c r="S477" s="609" t="str">
        <f t="shared" si="108"/>
        <v/>
      </c>
      <c r="T477" s="609" t="str">
        <f t="shared" si="108"/>
        <v/>
      </c>
      <c r="U477" s="609" t="str">
        <f t="shared" si="108"/>
        <v/>
      </c>
      <c r="V477" s="609" t="str">
        <f t="shared" si="108"/>
        <v/>
      </c>
      <c r="W477" s="609" t="str">
        <f t="shared" si="108"/>
        <v/>
      </c>
      <c r="X477" s="609" t="str">
        <f t="shared" si="107"/>
        <v/>
      </c>
      <c r="Y477" s="609" t="str">
        <f t="shared" si="107"/>
        <v/>
      </c>
      <c r="Z477" s="609" t="str">
        <f t="shared" si="107"/>
        <v/>
      </c>
      <c r="AA477" s="609" t="str">
        <f t="shared" si="107"/>
        <v/>
      </c>
      <c r="AB477" s="609" t="str">
        <f t="shared" si="107"/>
        <v/>
      </c>
      <c r="AC477" s="609" t="str">
        <f t="shared" si="107"/>
        <v/>
      </c>
      <c r="AD477" s="609" t="str">
        <f t="shared" si="107"/>
        <v/>
      </c>
      <c r="AE477" s="609" t="str">
        <f t="shared" si="107"/>
        <v/>
      </c>
      <c r="AF477" s="609" t="str">
        <f t="shared" si="107"/>
        <v/>
      </c>
      <c r="AG477" s="609" t="str">
        <f t="shared" si="107"/>
        <v/>
      </c>
      <c r="AH477" s="609" t="str">
        <f t="shared" si="107"/>
        <v/>
      </c>
      <c r="AI477" s="609" t="str">
        <f t="shared" si="107"/>
        <v/>
      </c>
      <c r="AJ477" s="609" t="str">
        <f t="shared" si="107"/>
        <v/>
      </c>
      <c r="AK477" s="609" t="str">
        <f t="shared" si="107"/>
        <v/>
      </c>
      <c r="AL477" s="609" t="str">
        <f t="shared" si="107"/>
        <v/>
      </c>
      <c r="AM477" s="609" t="str">
        <f t="shared" si="110"/>
        <v/>
      </c>
      <c r="AN477" s="609" t="str">
        <f t="shared" si="110"/>
        <v/>
      </c>
      <c r="AO477" s="609" t="str">
        <f t="shared" si="110"/>
        <v/>
      </c>
      <c r="AP477" s="609" t="str">
        <f t="shared" si="110"/>
        <v/>
      </c>
      <c r="AQ477" s="609" t="str">
        <f t="shared" si="110"/>
        <v/>
      </c>
      <c r="AR477" s="609" t="str">
        <f t="shared" si="110"/>
        <v/>
      </c>
      <c r="AS477" s="609" t="str">
        <f t="shared" si="110"/>
        <v/>
      </c>
      <c r="AT477" s="609" t="str">
        <f t="shared" si="110"/>
        <v/>
      </c>
      <c r="AU477" s="609" t="str">
        <f t="shared" si="110"/>
        <v/>
      </c>
      <c r="AV477" s="609" t="str">
        <f t="shared" si="110"/>
        <v/>
      </c>
      <c r="AW477" s="609" t="str">
        <f t="shared" si="110"/>
        <v/>
      </c>
      <c r="AX477" s="609" t="str">
        <f t="shared" si="110"/>
        <v/>
      </c>
      <c r="AY477" s="609" t="str">
        <f t="shared" si="110"/>
        <v/>
      </c>
      <c r="AZ477" s="609" t="str">
        <f t="shared" si="110"/>
        <v/>
      </c>
      <c r="BA477" s="609" t="str">
        <f t="shared" si="110"/>
        <v/>
      </c>
      <c r="BB477" s="609" t="str">
        <f t="shared" si="110"/>
        <v/>
      </c>
      <c r="BC477" s="609" t="str">
        <f t="shared" si="109"/>
        <v/>
      </c>
      <c r="BD477" s="609" t="str">
        <f t="shared" si="109"/>
        <v/>
      </c>
      <c r="BE477" s="609" t="str">
        <f t="shared" si="109"/>
        <v/>
      </c>
      <c r="BF477" s="609" t="str">
        <f t="shared" si="109"/>
        <v/>
      </c>
      <c r="BG477" s="609" t="str">
        <f t="shared" si="109"/>
        <v/>
      </c>
    </row>
    <row r="478" spans="2:59" x14ac:dyDescent="0.25">
      <c r="B478" s="654">
        <v>472</v>
      </c>
      <c r="C478" s="654"/>
      <c r="D478" s="654"/>
      <c r="E478" s="655"/>
      <c r="F478" s="654"/>
      <c r="H478" s="609" t="str">
        <f t="shared" si="108"/>
        <v/>
      </c>
      <c r="I478" s="609" t="str">
        <f t="shared" si="108"/>
        <v/>
      </c>
      <c r="J478" s="609" t="str">
        <f t="shared" si="108"/>
        <v/>
      </c>
      <c r="K478" s="609" t="str">
        <f t="shared" si="108"/>
        <v/>
      </c>
      <c r="L478" s="609" t="str">
        <f t="shared" si="108"/>
        <v/>
      </c>
      <c r="M478" s="609" t="str">
        <f t="shared" si="108"/>
        <v/>
      </c>
      <c r="N478" s="609" t="str">
        <f t="shared" si="108"/>
        <v/>
      </c>
      <c r="O478" s="609" t="str">
        <f t="shared" si="108"/>
        <v/>
      </c>
      <c r="P478" s="609" t="str">
        <f t="shared" si="108"/>
        <v/>
      </c>
      <c r="Q478" s="609" t="str">
        <f t="shared" si="108"/>
        <v/>
      </c>
      <c r="R478" s="609" t="str">
        <f t="shared" si="108"/>
        <v/>
      </c>
      <c r="S478" s="609" t="str">
        <f t="shared" si="108"/>
        <v/>
      </c>
      <c r="T478" s="609" t="str">
        <f t="shared" si="108"/>
        <v/>
      </c>
      <c r="U478" s="609" t="str">
        <f t="shared" si="108"/>
        <v/>
      </c>
      <c r="V478" s="609" t="str">
        <f t="shared" si="108"/>
        <v/>
      </c>
      <c r="W478" s="609" t="str">
        <f t="shared" si="108"/>
        <v/>
      </c>
      <c r="X478" s="609" t="str">
        <f t="shared" si="107"/>
        <v/>
      </c>
      <c r="Y478" s="609" t="str">
        <f t="shared" si="107"/>
        <v/>
      </c>
      <c r="Z478" s="609" t="str">
        <f t="shared" si="107"/>
        <v/>
      </c>
      <c r="AA478" s="609" t="str">
        <f t="shared" si="107"/>
        <v/>
      </c>
      <c r="AB478" s="609" t="str">
        <f t="shared" si="107"/>
        <v/>
      </c>
      <c r="AC478" s="609" t="str">
        <f t="shared" si="107"/>
        <v/>
      </c>
      <c r="AD478" s="609" t="str">
        <f t="shared" si="107"/>
        <v/>
      </c>
      <c r="AE478" s="609" t="str">
        <f t="shared" si="107"/>
        <v/>
      </c>
      <c r="AF478" s="609" t="str">
        <f t="shared" si="107"/>
        <v/>
      </c>
      <c r="AG478" s="609" t="str">
        <f t="shared" si="107"/>
        <v/>
      </c>
      <c r="AH478" s="609" t="str">
        <f t="shared" si="107"/>
        <v/>
      </c>
      <c r="AI478" s="609" t="str">
        <f t="shared" si="107"/>
        <v/>
      </c>
      <c r="AJ478" s="609" t="str">
        <f t="shared" si="107"/>
        <v/>
      </c>
      <c r="AK478" s="609" t="str">
        <f t="shared" si="107"/>
        <v/>
      </c>
      <c r="AL478" s="609" t="str">
        <f t="shared" si="107"/>
        <v/>
      </c>
      <c r="AM478" s="609" t="str">
        <f t="shared" si="110"/>
        <v/>
      </c>
      <c r="AN478" s="609" t="str">
        <f t="shared" si="110"/>
        <v/>
      </c>
      <c r="AO478" s="609" t="str">
        <f t="shared" si="110"/>
        <v/>
      </c>
      <c r="AP478" s="609" t="str">
        <f t="shared" si="110"/>
        <v/>
      </c>
      <c r="AQ478" s="609" t="str">
        <f t="shared" si="110"/>
        <v/>
      </c>
      <c r="AR478" s="609" t="str">
        <f t="shared" si="110"/>
        <v/>
      </c>
      <c r="AS478" s="609" t="str">
        <f t="shared" si="110"/>
        <v/>
      </c>
      <c r="AT478" s="609" t="str">
        <f t="shared" si="110"/>
        <v/>
      </c>
      <c r="AU478" s="609" t="str">
        <f t="shared" si="110"/>
        <v/>
      </c>
      <c r="AV478" s="609" t="str">
        <f t="shared" si="110"/>
        <v/>
      </c>
      <c r="AW478" s="609" t="str">
        <f t="shared" si="110"/>
        <v/>
      </c>
      <c r="AX478" s="609" t="str">
        <f t="shared" si="110"/>
        <v/>
      </c>
      <c r="AY478" s="609" t="str">
        <f t="shared" si="110"/>
        <v/>
      </c>
      <c r="AZ478" s="609" t="str">
        <f t="shared" si="110"/>
        <v/>
      </c>
      <c r="BA478" s="609" t="str">
        <f t="shared" si="110"/>
        <v/>
      </c>
      <c r="BB478" s="609" t="str">
        <f t="shared" si="110"/>
        <v/>
      </c>
      <c r="BC478" s="609" t="str">
        <f t="shared" si="109"/>
        <v/>
      </c>
      <c r="BD478" s="609" t="str">
        <f t="shared" si="109"/>
        <v/>
      </c>
      <c r="BE478" s="609" t="str">
        <f t="shared" si="109"/>
        <v/>
      </c>
      <c r="BF478" s="609" t="str">
        <f t="shared" si="109"/>
        <v/>
      </c>
      <c r="BG478" s="609" t="str">
        <f t="shared" si="109"/>
        <v/>
      </c>
    </row>
    <row r="479" spans="2:59" x14ac:dyDescent="0.25">
      <c r="B479" s="654">
        <v>473</v>
      </c>
      <c r="C479" s="654"/>
      <c r="D479" s="654"/>
      <c r="E479" s="655"/>
      <c r="F479" s="654"/>
      <c r="H479" s="609" t="str">
        <f t="shared" si="108"/>
        <v/>
      </c>
      <c r="I479" s="609" t="str">
        <f t="shared" si="108"/>
        <v/>
      </c>
      <c r="J479" s="609" t="str">
        <f t="shared" si="108"/>
        <v/>
      </c>
      <c r="K479" s="609" t="str">
        <f t="shared" si="108"/>
        <v/>
      </c>
      <c r="L479" s="609" t="str">
        <f t="shared" si="108"/>
        <v/>
      </c>
      <c r="M479" s="609" t="str">
        <f t="shared" si="108"/>
        <v/>
      </c>
      <c r="N479" s="609" t="str">
        <f t="shared" si="108"/>
        <v/>
      </c>
      <c r="O479" s="609" t="str">
        <f t="shared" si="108"/>
        <v/>
      </c>
      <c r="P479" s="609" t="str">
        <f t="shared" si="108"/>
        <v/>
      </c>
      <c r="Q479" s="609" t="str">
        <f t="shared" si="108"/>
        <v/>
      </c>
      <c r="R479" s="609" t="str">
        <f t="shared" si="108"/>
        <v/>
      </c>
      <c r="S479" s="609" t="str">
        <f t="shared" si="108"/>
        <v/>
      </c>
      <c r="T479" s="609" t="str">
        <f t="shared" si="108"/>
        <v/>
      </c>
      <c r="U479" s="609" t="str">
        <f t="shared" si="108"/>
        <v/>
      </c>
      <c r="V479" s="609" t="str">
        <f t="shared" si="108"/>
        <v/>
      </c>
      <c r="W479" s="609" t="str">
        <f t="shared" si="108"/>
        <v/>
      </c>
      <c r="X479" s="609" t="str">
        <f t="shared" si="107"/>
        <v/>
      </c>
      <c r="Y479" s="609" t="str">
        <f t="shared" si="107"/>
        <v/>
      </c>
      <c r="Z479" s="609" t="str">
        <f t="shared" si="107"/>
        <v/>
      </c>
      <c r="AA479" s="609" t="str">
        <f t="shared" si="107"/>
        <v/>
      </c>
      <c r="AB479" s="609" t="str">
        <f t="shared" si="107"/>
        <v/>
      </c>
      <c r="AC479" s="609" t="str">
        <f t="shared" si="107"/>
        <v/>
      </c>
      <c r="AD479" s="609" t="str">
        <f t="shared" si="107"/>
        <v/>
      </c>
      <c r="AE479" s="609" t="str">
        <f t="shared" si="107"/>
        <v/>
      </c>
      <c r="AF479" s="609" t="str">
        <f t="shared" si="107"/>
        <v/>
      </c>
      <c r="AG479" s="609" t="str">
        <f t="shared" si="107"/>
        <v/>
      </c>
      <c r="AH479" s="609" t="str">
        <f t="shared" si="107"/>
        <v/>
      </c>
      <c r="AI479" s="609" t="str">
        <f t="shared" si="107"/>
        <v/>
      </c>
      <c r="AJ479" s="609" t="str">
        <f t="shared" si="107"/>
        <v/>
      </c>
      <c r="AK479" s="609" t="str">
        <f t="shared" si="107"/>
        <v/>
      </c>
      <c r="AL479" s="609" t="str">
        <f t="shared" si="107"/>
        <v/>
      </c>
      <c r="AM479" s="609" t="str">
        <f t="shared" si="110"/>
        <v/>
      </c>
      <c r="AN479" s="609" t="str">
        <f t="shared" si="110"/>
        <v/>
      </c>
      <c r="AO479" s="609" t="str">
        <f t="shared" si="110"/>
        <v/>
      </c>
      <c r="AP479" s="609" t="str">
        <f t="shared" si="110"/>
        <v/>
      </c>
      <c r="AQ479" s="609" t="str">
        <f t="shared" si="110"/>
        <v/>
      </c>
      <c r="AR479" s="609" t="str">
        <f t="shared" si="110"/>
        <v/>
      </c>
      <c r="AS479" s="609" t="str">
        <f t="shared" si="110"/>
        <v/>
      </c>
      <c r="AT479" s="609" t="str">
        <f t="shared" si="110"/>
        <v/>
      </c>
      <c r="AU479" s="609" t="str">
        <f t="shared" si="110"/>
        <v/>
      </c>
      <c r="AV479" s="609" t="str">
        <f t="shared" si="110"/>
        <v/>
      </c>
      <c r="AW479" s="609" t="str">
        <f t="shared" si="110"/>
        <v/>
      </c>
      <c r="AX479" s="609" t="str">
        <f t="shared" si="110"/>
        <v/>
      </c>
      <c r="AY479" s="609" t="str">
        <f t="shared" si="110"/>
        <v/>
      </c>
      <c r="AZ479" s="609" t="str">
        <f t="shared" si="110"/>
        <v/>
      </c>
      <c r="BA479" s="609" t="str">
        <f t="shared" si="110"/>
        <v/>
      </c>
      <c r="BB479" s="609" t="str">
        <f t="shared" si="110"/>
        <v/>
      </c>
      <c r="BC479" s="609" t="str">
        <f t="shared" si="109"/>
        <v/>
      </c>
      <c r="BD479" s="609" t="str">
        <f t="shared" si="109"/>
        <v/>
      </c>
      <c r="BE479" s="609" t="str">
        <f t="shared" si="109"/>
        <v/>
      </c>
      <c r="BF479" s="609" t="str">
        <f t="shared" si="109"/>
        <v/>
      </c>
      <c r="BG479" s="609" t="str">
        <f t="shared" si="109"/>
        <v/>
      </c>
    </row>
    <row r="480" spans="2:59" x14ac:dyDescent="0.25">
      <c r="B480" s="654">
        <v>474</v>
      </c>
      <c r="C480" s="654"/>
      <c r="D480" s="654"/>
      <c r="E480" s="655"/>
      <c r="F480" s="654"/>
      <c r="H480" s="609" t="str">
        <f t="shared" si="108"/>
        <v/>
      </c>
      <c r="I480" s="609" t="str">
        <f t="shared" si="108"/>
        <v/>
      </c>
      <c r="J480" s="609" t="str">
        <f t="shared" si="108"/>
        <v/>
      </c>
      <c r="K480" s="609" t="str">
        <f t="shared" si="108"/>
        <v/>
      </c>
      <c r="L480" s="609" t="str">
        <f t="shared" si="108"/>
        <v/>
      </c>
      <c r="M480" s="609" t="str">
        <f t="shared" si="108"/>
        <v/>
      </c>
      <c r="N480" s="609" t="str">
        <f t="shared" si="108"/>
        <v/>
      </c>
      <c r="O480" s="609" t="str">
        <f t="shared" si="108"/>
        <v/>
      </c>
      <c r="P480" s="609" t="str">
        <f t="shared" si="108"/>
        <v/>
      </c>
      <c r="Q480" s="609" t="str">
        <f t="shared" si="108"/>
        <v/>
      </c>
      <c r="R480" s="609" t="str">
        <f t="shared" si="108"/>
        <v/>
      </c>
      <c r="S480" s="609" t="str">
        <f t="shared" si="108"/>
        <v/>
      </c>
      <c r="T480" s="609" t="str">
        <f t="shared" si="108"/>
        <v/>
      </c>
      <c r="U480" s="609" t="str">
        <f t="shared" si="108"/>
        <v/>
      </c>
      <c r="V480" s="609" t="str">
        <f t="shared" si="108"/>
        <v/>
      </c>
      <c r="W480" s="609" t="str">
        <f t="shared" si="108"/>
        <v/>
      </c>
      <c r="X480" s="609" t="str">
        <f t="shared" si="107"/>
        <v/>
      </c>
      <c r="Y480" s="609" t="str">
        <f t="shared" si="107"/>
        <v/>
      </c>
      <c r="Z480" s="609" t="str">
        <f t="shared" si="107"/>
        <v/>
      </c>
      <c r="AA480" s="609" t="str">
        <f t="shared" si="107"/>
        <v/>
      </c>
      <c r="AB480" s="609" t="str">
        <f t="shared" si="107"/>
        <v/>
      </c>
      <c r="AC480" s="609" t="str">
        <f t="shared" si="107"/>
        <v/>
      </c>
      <c r="AD480" s="609" t="str">
        <f t="shared" si="107"/>
        <v/>
      </c>
      <c r="AE480" s="609" t="str">
        <f t="shared" si="107"/>
        <v/>
      </c>
      <c r="AF480" s="609" t="str">
        <f t="shared" si="107"/>
        <v/>
      </c>
      <c r="AG480" s="609" t="str">
        <f t="shared" si="107"/>
        <v/>
      </c>
      <c r="AH480" s="609" t="str">
        <f t="shared" si="107"/>
        <v/>
      </c>
      <c r="AI480" s="609" t="str">
        <f t="shared" si="107"/>
        <v/>
      </c>
      <c r="AJ480" s="609" t="str">
        <f t="shared" si="107"/>
        <v/>
      </c>
      <c r="AK480" s="609" t="str">
        <f t="shared" si="107"/>
        <v/>
      </c>
      <c r="AL480" s="609" t="str">
        <f t="shared" si="107"/>
        <v/>
      </c>
      <c r="AM480" s="609" t="str">
        <f t="shared" si="110"/>
        <v/>
      </c>
      <c r="AN480" s="609" t="str">
        <f t="shared" si="110"/>
        <v/>
      </c>
      <c r="AO480" s="609" t="str">
        <f t="shared" si="110"/>
        <v/>
      </c>
      <c r="AP480" s="609" t="str">
        <f t="shared" si="110"/>
        <v/>
      </c>
      <c r="AQ480" s="609" t="str">
        <f t="shared" si="110"/>
        <v/>
      </c>
      <c r="AR480" s="609" t="str">
        <f t="shared" si="110"/>
        <v/>
      </c>
      <c r="AS480" s="609" t="str">
        <f t="shared" si="110"/>
        <v/>
      </c>
      <c r="AT480" s="609" t="str">
        <f t="shared" si="110"/>
        <v/>
      </c>
      <c r="AU480" s="609" t="str">
        <f t="shared" si="110"/>
        <v/>
      </c>
      <c r="AV480" s="609" t="str">
        <f t="shared" si="110"/>
        <v/>
      </c>
      <c r="AW480" s="609" t="str">
        <f t="shared" si="110"/>
        <v/>
      </c>
      <c r="AX480" s="609" t="str">
        <f t="shared" si="110"/>
        <v/>
      </c>
      <c r="AY480" s="609" t="str">
        <f t="shared" si="110"/>
        <v/>
      </c>
      <c r="AZ480" s="609" t="str">
        <f t="shared" si="110"/>
        <v/>
      </c>
      <c r="BA480" s="609" t="str">
        <f t="shared" si="110"/>
        <v/>
      </c>
      <c r="BB480" s="609" t="str">
        <f t="shared" si="110"/>
        <v/>
      </c>
      <c r="BC480" s="609" t="str">
        <f t="shared" si="109"/>
        <v/>
      </c>
      <c r="BD480" s="609" t="str">
        <f t="shared" si="109"/>
        <v/>
      </c>
      <c r="BE480" s="609" t="str">
        <f t="shared" si="109"/>
        <v/>
      </c>
      <c r="BF480" s="609" t="str">
        <f t="shared" si="109"/>
        <v/>
      </c>
      <c r="BG480" s="609" t="str">
        <f t="shared" si="109"/>
        <v/>
      </c>
    </row>
    <row r="481" spans="2:59" x14ac:dyDescent="0.25">
      <c r="B481" s="654">
        <v>475</v>
      </c>
      <c r="C481" s="654"/>
      <c r="D481" s="654"/>
      <c r="E481" s="655"/>
      <c r="F481" s="654"/>
      <c r="H481" s="609" t="str">
        <f t="shared" si="108"/>
        <v/>
      </c>
      <c r="I481" s="609" t="str">
        <f t="shared" si="108"/>
        <v/>
      </c>
      <c r="J481" s="609" t="str">
        <f t="shared" si="108"/>
        <v/>
      </c>
      <c r="K481" s="609" t="str">
        <f t="shared" si="108"/>
        <v/>
      </c>
      <c r="L481" s="609" t="str">
        <f t="shared" si="108"/>
        <v/>
      </c>
      <c r="M481" s="609" t="str">
        <f t="shared" si="108"/>
        <v/>
      </c>
      <c r="N481" s="609" t="str">
        <f t="shared" si="108"/>
        <v/>
      </c>
      <c r="O481" s="609" t="str">
        <f t="shared" si="108"/>
        <v/>
      </c>
      <c r="P481" s="609" t="str">
        <f t="shared" si="108"/>
        <v/>
      </c>
      <c r="Q481" s="609" t="str">
        <f t="shared" si="108"/>
        <v/>
      </c>
      <c r="R481" s="609" t="str">
        <f t="shared" si="108"/>
        <v/>
      </c>
      <c r="S481" s="609" t="str">
        <f t="shared" si="108"/>
        <v/>
      </c>
      <c r="T481" s="609" t="str">
        <f t="shared" si="108"/>
        <v/>
      </c>
      <c r="U481" s="609" t="str">
        <f t="shared" si="108"/>
        <v/>
      </c>
      <c r="V481" s="609" t="str">
        <f t="shared" si="108"/>
        <v/>
      </c>
      <c r="W481" s="609" t="str">
        <f t="shared" si="108"/>
        <v/>
      </c>
      <c r="X481" s="609" t="str">
        <f t="shared" si="107"/>
        <v/>
      </c>
      <c r="Y481" s="609" t="str">
        <f t="shared" si="107"/>
        <v/>
      </c>
      <c r="Z481" s="609" t="str">
        <f t="shared" si="107"/>
        <v/>
      </c>
      <c r="AA481" s="609" t="str">
        <f t="shared" si="107"/>
        <v/>
      </c>
      <c r="AB481" s="609" t="str">
        <f t="shared" si="107"/>
        <v/>
      </c>
      <c r="AC481" s="609" t="str">
        <f t="shared" si="107"/>
        <v/>
      </c>
      <c r="AD481" s="609" t="str">
        <f t="shared" si="107"/>
        <v/>
      </c>
      <c r="AE481" s="609" t="str">
        <f t="shared" si="107"/>
        <v/>
      </c>
      <c r="AF481" s="609" t="str">
        <f t="shared" si="107"/>
        <v/>
      </c>
      <c r="AG481" s="609" t="str">
        <f t="shared" si="107"/>
        <v/>
      </c>
      <c r="AH481" s="609" t="str">
        <f t="shared" si="107"/>
        <v/>
      </c>
      <c r="AI481" s="609" t="str">
        <f t="shared" si="107"/>
        <v/>
      </c>
      <c r="AJ481" s="609" t="str">
        <f t="shared" si="107"/>
        <v/>
      </c>
      <c r="AK481" s="609" t="str">
        <f t="shared" si="107"/>
        <v/>
      </c>
      <c r="AL481" s="609" t="str">
        <f t="shared" si="107"/>
        <v/>
      </c>
      <c r="AM481" s="609" t="str">
        <f t="shared" si="110"/>
        <v/>
      </c>
      <c r="AN481" s="609" t="str">
        <f t="shared" si="110"/>
        <v/>
      </c>
      <c r="AO481" s="609" t="str">
        <f t="shared" si="110"/>
        <v/>
      </c>
      <c r="AP481" s="609" t="str">
        <f t="shared" si="110"/>
        <v/>
      </c>
      <c r="AQ481" s="609" t="str">
        <f t="shared" si="110"/>
        <v/>
      </c>
      <c r="AR481" s="609" t="str">
        <f t="shared" si="110"/>
        <v/>
      </c>
      <c r="AS481" s="609" t="str">
        <f t="shared" si="110"/>
        <v/>
      </c>
      <c r="AT481" s="609" t="str">
        <f t="shared" si="110"/>
        <v/>
      </c>
      <c r="AU481" s="609" t="str">
        <f t="shared" si="110"/>
        <v/>
      </c>
      <c r="AV481" s="609" t="str">
        <f t="shared" si="110"/>
        <v/>
      </c>
      <c r="AW481" s="609" t="str">
        <f t="shared" si="110"/>
        <v/>
      </c>
      <c r="AX481" s="609" t="str">
        <f t="shared" si="110"/>
        <v/>
      </c>
      <c r="AY481" s="609" t="str">
        <f t="shared" si="110"/>
        <v/>
      </c>
      <c r="AZ481" s="609" t="str">
        <f t="shared" si="110"/>
        <v/>
      </c>
      <c r="BA481" s="609" t="str">
        <f t="shared" si="110"/>
        <v/>
      </c>
      <c r="BB481" s="609" t="str">
        <f t="shared" si="110"/>
        <v/>
      </c>
      <c r="BC481" s="609" t="str">
        <f t="shared" si="109"/>
        <v/>
      </c>
      <c r="BD481" s="609" t="str">
        <f t="shared" si="109"/>
        <v/>
      </c>
      <c r="BE481" s="609" t="str">
        <f t="shared" si="109"/>
        <v/>
      </c>
      <c r="BF481" s="609" t="str">
        <f t="shared" si="109"/>
        <v/>
      </c>
      <c r="BG481" s="609" t="str">
        <f t="shared" si="109"/>
        <v/>
      </c>
    </row>
    <row r="482" spans="2:59" x14ac:dyDescent="0.25">
      <c r="B482" s="654">
        <v>476</v>
      </c>
      <c r="C482" s="654"/>
      <c r="D482" s="654"/>
      <c r="E482" s="655"/>
      <c r="F482" s="654"/>
      <c r="H482" s="609" t="str">
        <f t="shared" si="108"/>
        <v/>
      </c>
      <c r="I482" s="609" t="str">
        <f t="shared" si="108"/>
        <v/>
      </c>
      <c r="J482" s="609" t="str">
        <f t="shared" si="108"/>
        <v/>
      </c>
      <c r="K482" s="609" t="str">
        <f t="shared" si="108"/>
        <v/>
      </c>
      <c r="L482" s="609" t="str">
        <f t="shared" si="108"/>
        <v/>
      </c>
      <c r="M482" s="609" t="str">
        <f t="shared" si="108"/>
        <v/>
      </c>
      <c r="N482" s="609" t="str">
        <f t="shared" si="108"/>
        <v/>
      </c>
      <c r="O482" s="609" t="str">
        <f t="shared" si="108"/>
        <v/>
      </c>
      <c r="P482" s="609" t="str">
        <f t="shared" si="108"/>
        <v/>
      </c>
      <c r="Q482" s="609" t="str">
        <f t="shared" si="108"/>
        <v/>
      </c>
      <c r="R482" s="609" t="str">
        <f t="shared" si="108"/>
        <v/>
      </c>
      <c r="S482" s="609" t="str">
        <f t="shared" si="108"/>
        <v/>
      </c>
      <c r="T482" s="609" t="str">
        <f t="shared" si="108"/>
        <v/>
      </c>
      <c r="U482" s="609" t="str">
        <f t="shared" si="108"/>
        <v/>
      </c>
      <c r="V482" s="609" t="str">
        <f t="shared" si="108"/>
        <v/>
      </c>
      <c r="W482" s="609" t="str">
        <f t="shared" si="108"/>
        <v/>
      </c>
      <c r="X482" s="609" t="str">
        <f t="shared" si="107"/>
        <v/>
      </c>
      <c r="Y482" s="609" t="str">
        <f t="shared" si="107"/>
        <v/>
      </c>
      <c r="Z482" s="609" t="str">
        <f t="shared" si="107"/>
        <v/>
      </c>
      <c r="AA482" s="609" t="str">
        <f t="shared" si="107"/>
        <v/>
      </c>
      <c r="AB482" s="609" t="str">
        <f t="shared" si="107"/>
        <v/>
      </c>
      <c r="AC482" s="609" t="str">
        <f t="shared" si="107"/>
        <v/>
      </c>
      <c r="AD482" s="609" t="str">
        <f t="shared" si="107"/>
        <v/>
      </c>
      <c r="AE482" s="609" t="str">
        <f t="shared" si="107"/>
        <v/>
      </c>
      <c r="AF482" s="609" t="str">
        <f t="shared" si="107"/>
        <v/>
      </c>
      <c r="AG482" s="609" t="str">
        <f t="shared" si="107"/>
        <v/>
      </c>
      <c r="AH482" s="609" t="str">
        <f t="shared" si="107"/>
        <v/>
      </c>
      <c r="AI482" s="609" t="str">
        <f t="shared" si="107"/>
        <v/>
      </c>
      <c r="AJ482" s="609" t="str">
        <f t="shared" si="107"/>
        <v/>
      </c>
      <c r="AK482" s="609" t="str">
        <f t="shared" si="107"/>
        <v/>
      </c>
      <c r="AL482" s="609" t="str">
        <f t="shared" si="107"/>
        <v/>
      </c>
      <c r="AM482" s="609" t="str">
        <f t="shared" si="110"/>
        <v/>
      </c>
      <c r="AN482" s="609" t="str">
        <f t="shared" si="110"/>
        <v/>
      </c>
      <c r="AO482" s="609" t="str">
        <f t="shared" si="110"/>
        <v/>
      </c>
      <c r="AP482" s="609" t="str">
        <f t="shared" si="110"/>
        <v/>
      </c>
      <c r="AQ482" s="609" t="str">
        <f t="shared" si="110"/>
        <v/>
      </c>
      <c r="AR482" s="609" t="str">
        <f t="shared" si="110"/>
        <v/>
      </c>
      <c r="AS482" s="609" t="str">
        <f t="shared" si="110"/>
        <v/>
      </c>
      <c r="AT482" s="609" t="str">
        <f t="shared" si="110"/>
        <v/>
      </c>
      <c r="AU482" s="609" t="str">
        <f t="shared" si="110"/>
        <v/>
      </c>
      <c r="AV482" s="609" t="str">
        <f t="shared" si="110"/>
        <v/>
      </c>
      <c r="AW482" s="609" t="str">
        <f t="shared" si="110"/>
        <v/>
      </c>
      <c r="AX482" s="609" t="str">
        <f t="shared" si="110"/>
        <v/>
      </c>
      <c r="AY482" s="609" t="str">
        <f t="shared" si="110"/>
        <v/>
      </c>
      <c r="AZ482" s="609" t="str">
        <f t="shared" si="110"/>
        <v/>
      </c>
      <c r="BA482" s="609" t="str">
        <f t="shared" si="110"/>
        <v/>
      </c>
      <c r="BB482" s="609" t="str">
        <f t="shared" si="110"/>
        <v/>
      </c>
      <c r="BC482" s="609" t="str">
        <f t="shared" si="109"/>
        <v/>
      </c>
      <c r="BD482" s="609" t="str">
        <f t="shared" si="109"/>
        <v/>
      </c>
      <c r="BE482" s="609" t="str">
        <f t="shared" si="109"/>
        <v/>
      </c>
      <c r="BF482" s="609" t="str">
        <f t="shared" si="109"/>
        <v/>
      </c>
      <c r="BG482" s="609" t="str">
        <f t="shared" si="109"/>
        <v/>
      </c>
    </row>
    <row r="483" spans="2:59" x14ac:dyDescent="0.25">
      <c r="B483" s="654">
        <v>477</v>
      </c>
      <c r="C483" s="654"/>
      <c r="D483" s="654"/>
      <c r="E483" s="655"/>
      <c r="F483" s="654"/>
      <c r="H483" s="609" t="str">
        <f t="shared" si="108"/>
        <v/>
      </c>
      <c r="I483" s="609" t="str">
        <f t="shared" si="108"/>
        <v/>
      </c>
      <c r="J483" s="609" t="str">
        <f t="shared" si="108"/>
        <v/>
      </c>
      <c r="K483" s="609" t="str">
        <f t="shared" si="108"/>
        <v/>
      </c>
      <c r="L483" s="609" t="str">
        <f t="shared" si="108"/>
        <v/>
      </c>
      <c r="M483" s="609" t="str">
        <f t="shared" si="108"/>
        <v/>
      </c>
      <c r="N483" s="609" t="str">
        <f t="shared" si="108"/>
        <v/>
      </c>
      <c r="O483" s="609" t="str">
        <f t="shared" si="108"/>
        <v/>
      </c>
      <c r="P483" s="609" t="str">
        <f t="shared" si="108"/>
        <v/>
      </c>
      <c r="Q483" s="609" t="str">
        <f t="shared" si="108"/>
        <v/>
      </c>
      <c r="R483" s="609" t="str">
        <f t="shared" si="108"/>
        <v/>
      </c>
      <c r="S483" s="609" t="str">
        <f t="shared" si="108"/>
        <v/>
      </c>
      <c r="T483" s="609" t="str">
        <f t="shared" si="108"/>
        <v/>
      </c>
      <c r="U483" s="609" t="str">
        <f t="shared" si="108"/>
        <v/>
      </c>
      <c r="V483" s="609" t="str">
        <f t="shared" si="108"/>
        <v/>
      </c>
      <c r="W483" s="609" t="str">
        <f t="shared" si="108"/>
        <v/>
      </c>
      <c r="X483" s="609" t="str">
        <f t="shared" si="107"/>
        <v/>
      </c>
      <c r="Y483" s="609" t="str">
        <f t="shared" si="107"/>
        <v/>
      </c>
      <c r="Z483" s="609" t="str">
        <f t="shared" si="107"/>
        <v/>
      </c>
      <c r="AA483" s="609" t="str">
        <f t="shared" si="107"/>
        <v/>
      </c>
      <c r="AB483" s="609" t="str">
        <f t="shared" si="107"/>
        <v/>
      </c>
      <c r="AC483" s="609" t="str">
        <f t="shared" si="107"/>
        <v/>
      </c>
      <c r="AD483" s="609" t="str">
        <f t="shared" si="107"/>
        <v/>
      </c>
      <c r="AE483" s="609" t="str">
        <f t="shared" si="107"/>
        <v/>
      </c>
      <c r="AF483" s="609" t="str">
        <f t="shared" si="107"/>
        <v/>
      </c>
      <c r="AG483" s="609" t="str">
        <f t="shared" si="107"/>
        <v/>
      </c>
      <c r="AH483" s="609" t="str">
        <f t="shared" si="107"/>
        <v/>
      </c>
      <c r="AI483" s="609" t="str">
        <f t="shared" si="107"/>
        <v/>
      </c>
      <c r="AJ483" s="609" t="str">
        <f t="shared" si="107"/>
        <v/>
      </c>
      <c r="AK483" s="609" t="str">
        <f t="shared" si="107"/>
        <v/>
      </c>
      <c r="AL483" s="609" t="str">
        <f t="shared" si="107"/>
        <v/>
      </c>
      <c r="AM483" s="609" t="str">
        <f t="shared" si="110"/>
        <v/>
      </c>
      <c r="AN483" s="609" t="str">
        <f t="shared" si="110"/>
        <v/>
      </c>
      <c r="AO483" s="609" t="str">
        <f t="shared" si="110"/>
        <v/>
      </c>
      <c r="AP483" s="609" t="str">
        <f t="shared" si="110"/>
        <v/>
      </c>
      <c r="AQ483" s="609" t="str">
        <f t="shared" si="110"/>
        <v/>
      </c>
      <c r="AR483" s="609" t="str">
        <f t="shared" si="110"/>
        <v/>
      </c>
      <c r="AS483" s="609" t="str">
        <f t="shared" si="110"/>
        <v/>
      </c>
      <c r="AT483" s="609" t="str">
        <f t="shared" si="110"/>
        <v/>
      </c>
      <c r="AU483" s="609" t="str">
        <f t="shared" si="110"/>
        <v/>
      </c>
      <c r="AV483" s="609" t="str">
        <f t="shared" si="110"/>
        <v/>
      </c>
      <c r="AW483" s="609" t="str">
        <f t="shared" si="110"/>
        <v/>
      </c>
      <c r="AX483" s="609" t="str">
        <f t="shared" si="110"/>
        <v/>
      </c>
      <c r="AY483" s="609" t="str">
        <f t="shared" si="110"/>
        <v/>
      </c>
      <c r="AZ483" s="609" t="str">
        <f t="shared" si="110"/>
        <v/>
      </c>
      <c r="BA483" s="609" t="str">
        <f t="shared" si="110"/>
        <v/>
      </c>
      <c r="BB483" s="609" t="str">
        <f t="shared" si="110"/>
        <v/>
      </c>
      <c r="BC483" s="609" t="str">
        <f t="shared" si="109"/>
        <v/>
      </c>
      <c r="BD483" s="609" t="str">
        <f t="shared" si="109"/>
        <v/>
      </c>
      <c r="BE483" s="609" t="str">
        <f t="shared" si="109"/>
        <v/>
      </c>
      <c r="BF483" s="609" t="str">
        <f t="shared" si="109"/>
        <v/>
      </c>
      <c r="BG483" s="609" t="str">
        <f t="shared" si="109"/>
        <v/>
      </c>
    </row>
    <row r="484" spans="2:59" x14ac:dyDescent="0.25">
      <c r="B484" s="654">
        <v>478</v>
      </c>
      <c r="C484" s="654"/>
      <c r="D484" s="654"/>
      <c r="E484" s="655"/>
      <c r="F484" s="654"/>
      <c r="H484" s="609" t="str">
        <f t="shared" si="108"/>
        <v/>
      </c>
      <c r="I484" s="609" t="str">
        <f t="shared" si="108"/>
        <v/>
      </c>
      <c r="J484" s="609" t="str">
        <f t="shared" si="108"/>
        <v/>
      </c>
      <c r="K484" s="609" t="str">
        <f t="shared" si="108"/>
        <v/>
      </c>
      <c r="L484" s="609" t="str">
        <f t="shared" si="108"/>
        <v/>
      </c>
      <c r="M484" s="609" t="str">
        <f t="shared" si="108"/>
        <v/>
      </c>
      <c r="N484" s="609" t="str">
        <f t="shared" si="108"/>
        <v/>
      </c>
      <c r="O484" s="609" t="str">
        <f t="shared" si="108"/>
        <v/>
      </c>
      <c r="P484" s="609" t="str">
        <f t="shared" si="108"/>
        <v/>
      </c>
      <c r="Q484" s="609" t="str">
        <f t="shared" si="108"/>
        <v/>
      </c>
      <c r="R484" s="609" t="str">
        <f t="shared" si="108"/>
        <v/>
      </c>
      <c r="S484" s="609" t="str">
        <f t="shared" si="108"/>
        <v/>
      </c>
      <c r="T484" s="609" t="str">
        <f t="shared" si="108"/>
        <v/>
      </c>
      <c r="U484" s="609" t="str">
        <f t="shared" si="108"/>
        <v/>
      </c>
      <c r="V484" s="609" t="str">
        <f t="shared" si="108"/>
        <v/>
      </c>
      <c r="W484" s="609" t="str">
        <f t="shared" si="108"/>
        <v/>
      </c>
      <c r="X484" s="609" t="str">
        <f t="shared" si="107"/>
        <v/>
      </c>
      <c r="Y484" s="609" t="str">
        <f t="shared" si="107"/>
        <v/>
      </c>
      <c r="Z484" s="609" t="str">
        <f t="shared" si="107"/>
        <v/>
      </c>
      <c r="AA484" s="609" t="str">
        <f t="shared" si="107"/>
        <v/>
      </c>
      <c r="AB484" s="609" t="str">
        <f t="shared" si="107"/>
        <v/>
      </c>
      <c r="AC484" s="609" t="str">
        <f t="shared" si="107"/>
        <v/>
      </c>
      <c r="AD484" s="609" t="str">
        <f t="shared" si="107"/>
        <v/>
      </c>
      <c r="AE484" s="609" t="str">
        <f t="shared" si="107"/>
        <v/>
      </c>
      <c r="AF484" s="609" t="str">
        <f t="shared" si="107"/>
        <v/>
      </c>
      <c r="AG484" s="609" t="str">
        <f t="shared" si="107"/>
        <v/>
      </c>
      <c r="AH484" s="609" t="str">
        <f t="shared" si="107"/>
        <v/>
      </c>
      <c r="AI484" s="609" t="str">
        <f t="shared" si="107"/>
        <v/>
      </c>
      <c r="AJ484" s="609" t="str">
        <f t="shared" si="107"/>
        <v/>
      </c>
      <c r="AK484" s="609" t="str">
        <f t="shared" si="107"/>
        <v/>
      </c>
      <c r="AL484" s="609" t="str">
        <f t="shared" si="107"/>
        <v/>
      </c>
      <c r="AM484" s="609" t="str">
        <f t="shared" si="110"/>
        <v/>
      </c>
      <c r="AN484" s="609" t="str">
        <f t="shared" si="110"/>
        <v/>
      </c>
      <c r="AO484" s="609" t="str">
        <f t="shared" si="110"/>
        <v/>
      </c>
      <c r="AP484" s="609" t="str">
        <f t="shared" si="110"/>
        <v/>
      </c>
      <c r="AQ484" s="609" t="str">
        <f t="shared" si="110"/>
        <v/>
      </c>
      <c r="AR484" s="609" t="str">
        <f t="shared" si="110"/>
        <v/>
      </c>
      <c r="AS484" s="609" t="str">
        <f t="shared" si="110"/>
        <v/>
      </c>
      <c r="AT484" s="609" t="str">
        <f t="shared" si="110"/>
        <v/>
      </c>
      <c r="AU484" s="609" t="str">
        <f t="shared" si="110"/>
        <v/>
      </c>
      <c r="AV484" s="609" t="str">
        <f t="shared" si="110"/>
        <v/>
      </c>
      <c r="AW484" s="609" t="str">
        <f t="shared" si="110"/>
        <v/>
      </c>
      <c r="AX484" s="609" t="str">
        <f t="shared" si="110"/>
        <v/>
      </c>
      <c r="AY484" s="609" t="str">
        <f t="shared" si="110"/>
        <v/>
      </c>
      <c r="AZ484" s="609" t="str">
        <f t="shared" si="110"/>
        <v/>
      </c>
      <c r="BA484" s="609" t="str">
        <f t="shared" si="110"/>
        <v/>
      </c>
      <c r="BB484" s="609" t="str">
        <f t="shared" si="110"/>
        <v/>
      </c>
      <c r="BC484" s="609" t="str">
        <f t="shared" si="109"/>
        <v/>
      </c>
      <c r="BD484" s="609" t="str">
        <f t="shared" si="109"/>
        <v/>
      </c>
      <c r="BE484" s="609" t="str">
        <f t="shared" si="109"/>
        <v/>
      </c>
      <c r="BF484" s="609" t="str">
        <f t="shared" si="109"/>
        <v/>
      </c>
      <c r="BG484" s="609" t="str">
        <f t="shared" si="109"/>
        <v/>
      </c>
    </row>
    <row r="485" spans="2:59" x14ac:dyDescent="0.25">
      <c r="B485" s="654">
        <v>479</v>
      </c>
      <c r="C485" s="654"/>
      <c r="D485" s="654"/>
      <c r="E485" s="655"/>
      <c r="F485" s="654"/>
      <c r="H485" s="609" t="str">
        <f t="shared" si="108"/>
        <v/>
      </c>
      <c r="I485" s="609" t="str">
        <f t="shared" si="108"/>
        <v/>
      </c>
      <c r="J485" s="609" t="str">
        <f t="shared" si="108"/>
        <v/>
      </c>
      <c r="K485" s="609" t="str">
        <f t="shared" si="108"/>
        <v/>
      </c>
      <c r="L485" s="609" t="str">
        <f t="shared" si="108"/>
        <v/>
      </c>
      <c r="M485" s="609" t="str">
        <f t="shared" si="108"/>
        <v/>
      </c>
      <c r="N485" s="609" t="str">
        <f t="shared" si="108"/>
        <v/>
      </c>
      <c r="O485" s="609" t="str">
        <f t="shared" si="108"/>
        <v/>
      </c>
      <c r="P485" s="609" t="str">
        <f t="shared" si="108"/>
        <v/>
      </c>
      <c r="Q485" s="609" t="str">
        <f t="shared" si="108"/>
        <v/>
      </c>
      <c r="R485" s="609" t="str">
        <f t="shared" si="108"/>
        <v/>
      </c>
      <c r="S485" s="609" t="str">
        <f t="shared" si="108"/>
        <v/>
      </c>
      <c r="T485" s="609" t="str">
        <f t="shared" si="108"/>
        <v/>
      </c>
      <c r="U485" s="609" t="str">
        <f t="shared" si="108"/>
        <v/>
      </c>
      <c r="V485" s="609" t="str">
        <f t="shared" si="108"/>
        <v/>
      </c>
      <c r="W485" s="609" t="str">
        <f t="shared" ref="W485:AL500" si="111">IF($D485=W$6,$B485&amp;", ","")</f>
        <v/>
      </c>
      <c r="X485" s="609" t="str">
        <f t="shared" si="111"/>
        <v/>
      </c>
      <c r="Y485" s="609" t="str">
        <f t="shared" si="111"/>
        <v/>
      </c>
      <c r="Z485" s="609" t="str">
        <f t="shared" si="111"/>
        <v/>
      </c>
      <c r="AA485" s="609" t="str">
        <f t="shared" si="111"/>
        <v/>
      </c>
      <c r="AB485" s="609" t="str">
        <f t="shared" si="111"/>
        <v/>
      </c>
      <c r="AC485" s="609" t="str">
        <f t="shared" si="111"/>
        <v/>
      </c>
      <c r="AD485" s="609" t="str">
        <f t="shared" si="111"/>
        <v/>
      </c>
      <c r="AE485" s="609" t="str">
        <f t="shared" si="111"/>
        <v/>
      </c>
      <c r="AF485" s="609" t="str">
        <f t="shared" si="111"/>
        <v/>
      </c>
      <c r="AG485" s="609" t="str">
        <f t="shared" si="111"/>
        <v/>
      </c>
      <c r="AH485" s="609" t="str">
        <f t="shared" si="111"/>
        <v/>
      </c>
      <c r="AI485" s="609" t="str">
        <f t="shared" si="111"/>
        <v/>
      </c>
      <c r="AJ485" s="609" t="str">
        <f t="shared" si="111"/>
        <v/>
      </c>
      <c r="AK485" s="609" t="str">
        <f t="shared" si="111"/>
        <v/>
      </c>
      <c r="AL485" s="609" t="str">
        <f t="shared" si="111"/>
        <v/>
      </c>
      <c r="AM485" s="609" t="str">
        <f t="shared" si="110"/>
        <v/>
      </c>
      <c r="AN485" s="609" t="str">
        <f t="shared" si="110"/>
        <v/>
      </c>
      <c r="AO485" s="609" t="str">
        <f t="shared" si="110"/>
        <v/>
      </c>
      <c r="AP485" s="609" t="str">
        <f t="shared" si="110"/>
        <v/>
      </c>
      <c r="AQ485" s="609" t="str">
        <f t="shared" si="110"/>
        <v/>
      </c>
      <c r="AR485" s="609" t="str">
        <f t="shared" si="110"/>
        <v/>
      </c>
      <c r="AS485" s="609" t="str">
        <f t="shared" si="110"/>
        <v/>
      </c>
      <c r="AT485" s="609" t="str">
        <f t="shared" si="110"/>
        <v/>
      </c>
      <c r="AU485" s="609" t="str">
        <f t="shared" si="110"/>
        <v/>
      </c>
      <c r="AV485" s="609" t="str">
        <f t="shared" si="110"/>
        <v/>
      </c>
      <c r="AW485" s="609" t="str">
        <f t="shared" si="110"/>
        <v/>
      </c>
      <c r="AX485" s="609" t="str">
        <f t="shared" si="110"/>
        <v/>
      </c>
      <c r="AY485" s="609" t="str">
        <f t="shared" si="110"/>
        <v/>
      </c>
      <c r="AZ485" s="609" t="str">
        <f t="shared" si="110"/>
        <v/>
      </c>
      <c r="BA485" s="609" t="str">
        <f t="shared" si="110"/>
        <v/>
      </c>
      <c r="BB485" s="609" t="str">
        <f t="shared" si="110"/>
        <v/>
      </c>
      <c r="BC485" s="609" t="str">
        <f t="shared" si="109"/>
        <v/>
      </c>
      <c r="BD485" s="609" t="str">
        <f t="shared" si="109"/>
        <v/>
      </c>
      <c r="BE485" s="609" t="str">
        <f t="shared" si="109"/>
        <v/>
      </c>
      <c r="BF485" s="609" t="str">
        <f t="shared" si="109"/>
        <v/>
      </c>
      <c r="BG485" s="609" t="str">
        <f t="shared" si="109"/>
        <v/>
      </c>
    </row>
    <row r="486" spans="2:59" x14ac:dyDescent="0.25">
      <c r="B486" s="654">
        <v>480</v>
      </c>
      <c r="C486" s="654"/>
      <c r="D486" s="654"/>
      <c r="E486" s="655"/>
      <c r="F486" s="654"/>
      <c r="H486" s="609" t="str">
        <f t="shared" ref="H486:W501" si="112">IF($D486=H$6,$B486&amp;", ","")</f>
        <v/>
      </c>
      <c r="I486" s="609" t="str">
        <f t="shared" si="112"/>
        <v/>
      </c>
      <c r="J486" s="609" t="str">
        <f t="shared" si="112"/>
        <v/>
      </c>
      <c r="K486" s="609" t="str">
        <f t="shared" si="112"/>
        <v/>
      </c>
      <c r="L486" s="609" t="str">
        <f t="shared" si="112"/>
        <v/>
      </c>
      <c r="M486" s="609" t="str">
        <f t="shared" si="112"/>
        <v/>
      </c>
      <c r="N486" s="609" t="str">
        <f t="shared" si="112"/>
        <v/>
      </c>
      <c r="O486" s="609" t="str">
        <f t="shared" si="112"/>
        <v/>
      </c>
      <c r="P486" s="609" t="str">
        <f t="shared" si="112"/>
        <v/>
      </c>
      <c r="Q486" s="609" t="str">
        <f t="shared" si="112"/>
        <v/>
      </c>
      <c r="R486" s="609" t="str">
        <f t="shared" si="112"/>
        <v/>
      </c>
      <c r="S486" s="609" t="str">
        <f t="shared" si="112"/>
        <v/>
      </c>
      <c r="T486" s="609" t="str">
        <f t="shared" si="112"/>
        <v/>
      </c>
      <c r="U486" s="609" t="str">
        <f t="shared" si="112"/>
        <v/>
      </c>
      <c r="V486" s="609" t="str">
        <f t="shared" si="112"/>
        <v/>
      </c>
      <c r="W486" s="609" t="str">
        <f t="shared" si="112"/>
        <v/>
      </c>
      <c r="X486" s="609" t="str">
        <f t="shared" si="111"/>
        <v/>
      </c>
      <c r="Y486" s="609" t="str">
        <f t="shared" si="111"/>
        <v/>
      </c>
      <c r="Z486" s="609" t="str">
        <f t="shared" si="111"/>
        <v/>
      </c>
      <c r="AA486" s="609" t="str">
        <f t="shared" si="111"/>
        <v/>
      </c>
      <c r="AB486" s="609" t="str">
        <f t="shared" si="111"/>
        <v/>
      </c>
      <c r="AC486" s="609" t="str">
        <f t="shared" si="111"/>
        <v/>
      </c>
      <c r="AD486" s="609" t="str">
        <f t="shared" si="111"/>
        <v/>
      </c>
      <c r="AE486" s="609" t="str">
        <f t="shared" si="111"/>
        <v/>
      </c>
      <c r="AF486" s="609" t="str">
        <f t="shared" si="111"/>
        <v/>
      </c>
      <c r="AG486" s="609" t="str">
        <f t="shared" si="111"/>
        <v/>
      </c>
      <c r="AH486" s="609" t="str">
        <f t="shared" si="111"/>
        <v/>
      </c>
      <c r="AI486" s="609" t="str">
        <f t="shared" si="111"/>
        <v/>
      </c>
      <c r="AJ486" s="609" t="str">
        <f t="shared" si="111"/>
        <v/>
      </c>
      <c r="AK486" s="609" t="str">
        <f t="shared" si="111"/>
        <v/>
      </c>
      <c r="AL486" s="609" t="str">
        <f t="shared" si="111"/>
        <v/>
      </c>
      <c r="AM486" s="609" t="str">
        <f t="shared" si="110"/>
        <v/>
      </c>
      <c r="AN486" s="609" t="str">
        <f t="shared" si="110"/>
        <v/>
      </c>
      <c r="AO486" s="609" t="str">
        <f t="shared" si="110"/>
        <v/>
      </c>
      <c r="AP486" s="609" t="str">
        <f t="shared" si="110"/>
        <v/>
      </c>
      <c r="AQ486" s="609" t="str">
        <f t="shared" si="110"/>
        <v/>
      </c>
      <c r="AR486" s="609" t="str">
        <f t="shared" si="110"/>
        <v/>
      </c>
      <c r="AS486" s="609" t="str">
        <f t="shared" si="110"/>
        <v/>
      </c>
      <c r="AT486" s="609" t="str">
        <f t="shared" si="110"/>
        <v/>
      </c>
      <c r="AU486" s="609" t="str">
        <f t="shared" si="110"/>
        <v/>
      </c>
      <c r="AV486" s="609" t="str">
        <f t="shared" si="110"/>
        <v/>
      </c>
      <c r="AW486" s="609" t="str">
        <f t="shared" si="110"/>
        <v/>
      </c>
      <c r="AX486" s="609" t="str">
        <f t="shared" si="110"/>
        <v/>
      </c>
      <c r="AY486" s="609" t="str">
        <f t="shared" si="110"/>
        <v/>
      </c>
      <c r="AZ486" s="609" t="str">
        <f t="shared" si="110"/>
        <v/>
      </c>
      <c r="BA486" s="609" t="str">
        <f t="shared" si="110"/>
        <v/>
      </c>
      <c r="BB486" s="609" t="str">
        <f t="shared" si="110"/>
        <v/>
      </c>
      <c r="BC486" s="609" t="str">
        <f t="shared" si="109"/>
        <v/>
      </c>
      <c r="BD486" s="609" t="str">
        <f t="shared" si="109"/>
        <v/>
      </c>
      <c r="BE486" s="609" t="str">
        <f t="shared" si="109"/>
        <v/>
      </c>
      <c r="BF486" s="609" t="str">
        <f t="shared" si="109"/>
        <v/>
      </c>
      <c r="BG486" s="609" t="str">
        <f t="shared" si="109"/>
        <v/>
      </c>
    </row>
    <row r="487" spans="2:59" x14ac:dyDescent="0.25">
      <c r="B487" s="654">
        <v>481</v>
      </c>
      <c r="C487" s="654"/>
      <c r="D487" s="654"/>
      <c r="E487" s="655"/>
      <c r="F487" s="654"/>
      <c r="H487" s="609" t="str">
        <f t="shared" si="112"/>
        <v/>
      </c>
      <c r="I487" s="609" t="str">
        <f t="shared" si="112"/>
        <v/>
      </c>
      <c r="J487" s="609" t="str">
        <f t="shared" si="112"/>
        <v/>
      </c>
      <c r="K487" s="609" t="str">
        <f t="shared" si="112"/>
        <v/>
      </c>
      <c r="L487" s="609" t="str">
        <f t="shared" si="112"/>
        <v/>
      </c>
      <c r="M487" s="609" t="str">
        <f t="shared" si="112"/>
        <v/>
      </c>
      <c r="N487" s="609" t="str">
        <f t="shared" si="112"/>
        <v/>
      </c>
      <c r="O487" s="609" t="str">
        <f t="shared" si="112"/>
        <v/>
      </c>
      <c r="P487" s="609" t="str">
        <f t="shared" si="112"/>
        <v/>
      </c>
      <c r="Q487" s="609" t="str">
        <f t="shared" si="112"/>
        <v/>
      </c>
      <c r="R487" s="609" t="str">
        <f t="shared" si="112"/>
        <v/>
      </c>
      <c r="S487" s="609" t="str">
        <f t="shared" si="112"/>
        <v/>
      </c>
      <c r="T487" s="609" t="str">
        <f t="shared" si="112"/>
        <v/>
      </c>
      <c r="U487" s="609" t="str">
        <f t="shared" si="112"/>
        <v/>
      </c>
      <c r="V487" s="609" t="str">
        <f t="shared" si="112"/>
        <v/>
      </c>
      <c r="W487" s="609" t="str">
        <f t="shared" si="112"/>
        <v/>
      </c>
      <c r="X487" s="609" t="str">
        <f t="shared" si="111"/>
        <v/>
      </c>
      <c r="Y487" s="609" t="str">
        <f t="shared" si="111"/>
        <v/>
      </c>
      <c r="Z487" s="609" t="str">
        <f t="shared" si="111"/>
        <v/>
      </c>
      <c r="AA487" s="609" t="str">
        <f t="shared" si="111"/>
        <v/>
      </c>
      <c r="AB487" s="609" t="str">
        <f t="shared" si="111"/>
        <v/>
      </c>
      <c r="AC487" s="609" t="str">
        <f t="shared" si="111"/>
        <v/>
      </c>
      <c r="AD487" s="609" t="str">
        <f t="shared" si="111"/>
        <v/>
      </c>
      <c r="AE487" s="609" t="str">
        <f t="shared" si="111"/>
        <v/>
      </c>
      <c r="AF487" s="609" t="str">
        <f t="shared" si="111"/>
        <v/>
      </c>
      <c r="AG487" s="609" t="str">
        <f t="shared" si="111"/>
        <v/>
      </c>
      <c r="AH487" s="609" t="str">
        <f t="shared" si="111"/>
        <v/>
      </c>
      <c r="AI487" s="609" t="str">
        <f t="shared" si="111"/>
        <v/>
      </c>
      <c r="AJ487" s="609" t="str">
        <f t="shared" si="111"/>
        <v/>
      </c>
      <c r="AK487" s="609" t="str">
        <f t="shared" si="111"/>
        <v/>
      </c>
      <c r="AL487" s="609" t="str">
        <f t="shared" si="111"/>
        <v/>
      </c>
      <c r="AM487" s="609" t="str">
        <f t="shared" si="110"/>
        <v/>
      </c>
      <c r="AN487" s="609" t="str">
        <f t="shared" si="110"/>
        <v/>
      </c>
      <c r="AO487" s="609" t="str">
        <f t="shared" si="110"/>
        <v/>
      </c>
      <c r="AP487" s="609" t="str">
        <f t="shared" si="110"/>
        <v/>
      </c>
      <c r="AQ487" s="609" t="str">
        <f t="shared" si="110"/>
        <v/>
      </c>
      <c r="AR487" s="609" t="str">
        <f t="shared" si="110"/>
        <v/>
      </c>
      <c r="AS487" s="609" t="str">
        <f t="shared" si="110"/>
        <v/>
      </c>
      <c r="AT487" s="609" t="str">
        <f t="shared" si="110"/>
        <v/>
      </c>
      <c r="AU487" s="609" t="str">
        <f t="shared" si="110"/>
        <v/>
      </c>
      <c r="AV487" s="609" t="str">
        <f t="shared" si="110"/>
        <v/>
      </c>
      <c r="AW487" s="609" t="str">
        <f t="shared" si="110"/>
        <v/>
      </c>
      <c r="AX487" s="609" t="str">
        <f t="shared" si="110"/>
        <v/>
      </c>
      <c r="AY487" s="609" t="str">
        <f t="shared" si="110"/>
        <v/>
      </c>
      <c r="AZ487" s="609" t="str">
        <f t="shared" si="110"/>
        <v/>
      </c>
      <c r="BA487" s="609" t="str">
        <f t="shared" si="110"/>
        <v/>
      </c>
      <c r="BB487" s="609" t="str">
        <f t="shared" si="110"/>
        <v/>
      </c>
      <c r="BC487" s="609" t="str">
        <f t="shared" si="109"/>
        <v/>
      </c>
      <c r="BD487" s="609" t="str">
        <f t="shared" si="109"/>
        <v/>
      </c>
      <c r="BE487" s="609" t="str">
        <f t="shared" si="109"/>
        <v/>
      </c>
      <c r="BF487" s="609" t="str">
        <f t="shared" si="109"/>
        <v/>
      </c>
      <c r="BG487" s="609" t="str">
        <f t="shared" si="109"/>
        <v/>
      </c>
    </row>
    <row r="488" spans="2:59" x14ac:dyDescent="0.25">
      <c r="B488" s="654">
        <v>482</v>
      </c>
      <c r="C488" s="654"/>
      <c r="D488" s="654"/>
      <c r="E488" s="655"/>
      <c r="F488" s="654"/>
      <c r="H488" s="609" t="str">
        <f t="shared" si="112"/>
        <v/>
      </c>
      <c r="I488" s="609" t="str">
        <f t="shared" si="112"/>
        <v/>
      </c>
      <c r="J488" s="609" t="str">
        <f t="shared" si="112"/>
        <v/>
      </c>
      <c r="K488" s="609" t="str">
        <f t="shared" si="112"/>
        <v/>
      </c>
      <c r="L488" s="609" t="str">
        <f t="shared" si="112"/>
        <v/>
      </c>
      <c r="M488" s="609" t="str">
        <f t="shared" si="112"/>
        <v/>
      </c>
      <c r="N488" s="609" t="str">
        <f t="shared" si="112"/>
        <v/>
      </c>
      <c r="O488" s="609" t="str">
        <f t="shared" si="112"/>
        <v/>
      </c>
      <c r="P488" s="609" t="str">
        <f t="shared" si="112"/>
        <v/>
      </c>
      <c r="Q488" s="609" t="str">
        <f t="shared" si="112"/>
        <v/>
      </c>
      <c r="R488" s="609" t="str">
        <f t="shared" si="112"/>
        <v/>
      </c>
      <c r="S488" s="609" t="str">
        <f t="shared" si="112"/>
        <v/>
      </c>
      <c r="T488" s="609" t="str">
        <f t="shared" si="112"/>
        <v/>
      </c>
      <c r="U488" s="609" t="str">
        <f t="shared" si="112"/>
        <v/>
      </c>
      <c r="V488" s="609" t="str">
        <f t="shared" si="112"/>
        <v/>
      </c>
      <c r="W488" s="609" t="str">
        <f t="shared" si="112"/>
        <v/>
      </c>
      <c r="X488" s="609" t="str">
        <f t="shared" si="111"/>
        <v/>
      </c>
      <c r="Y488" s="609" t="str">
        <f t="shared" si="111"/>
        <v/>
      </c>
      <c r="Z488" s="609" t="str">
        <f t="shared" si="111"/>
        <v/>
      </c>
      <c r="AA488" s="609" t="str">
        <f t="shared" si="111"/>
        <v/>
      </c>
      <c r="AB488" s="609" t="str">
        <f t="shared" si="111"/>
        <v/>
      </c>
      <c r="AC488" s="609" t="str">
        <f t="shared" si="111"/>
        <v/>
      </c>
      <c r="AD488" s="609" t="str">
        <f t="shared" si="111"/>
        <v/>
      </c>
      <c r="AE488" s="609" t="str">
        <f t="shared" si="111"/>
        <v/>
      </c>
      <c r="AF488" s="609" t="str">
        <f t="shared" si="111"/>
        <v/>
      </c>
      <c r="AG488" s="609" t="str">
        <f t="shared" si="111"/>
        <v/>
      </c>
      <c r="AH488" s="609" t="str">
        <f t="shared" si="111"/>
        <v/>
      </c>
      <c r="AI488" s="609" t="str">
        <f t="shared" si="111"/>
        <v/>
      </c>
      <c r="AJ488" s="609" t="str">
        <f t="shared" si="111"/>
        <v/>
      </c>
      <c r="AK488" s="609" t="str">
        <f t="shared" si="111"/>
        <v/>
      </c>
      <c r="AL488" s="609" t="str">
        <f t="shared" si="111"/>
        <v/>
      </c>
      <c r="AM488" s="609" t="str">
        <f t="shared" si="110"/>
        <v/>
      </c>
      <c r="AN488" s="609" t="str">
        <f t="shared" si="110"/>
        <v/>
      </c>
      <c r="AO488" s="609" t="str">
        <f t="shared" si="110"/>
        <v/>
      </c>
      <c r="AP488" s="609" t="str">
        <f t="shared" si="110"/>
        <v/>
      </c>
      <c r="AQ488" s="609" t="str">
        <f t="shared" si="110"/>
        <v/>
      </c>
      <c r="AR488" s="609" t="str">
        <f t="shared" si="110"/>
        <v/>
      </c>
      <c r="AS488" s="609" t="str">
        <f t="shared" si="110"/>
        <v/>
      </c>
      <c r="AT488" s="609" t="str">
        <f t="shared" si="110"/>
        <v/>
      </c>
      <c r="AU488" s="609" t="str">
        <f t="shared" si="110"/>
        <v/>
      </c>
      <c r="AV488" s="609" t="str">
        <f t="shared" si="110"/>
        <v/>
      </c>
      <c r="AW488" s="609" t="str">
        <f t="shared" si="110"/>
        <v/>
      </c>
      <c r="AX488" s="609" t="str">
        <f t="shared" si="110"/>
        <v/>
      </c>
      <c r="AY488" s="609" t="str">
        <f t="shared" si="110"/>
        <v/>
      </c>
      <c r="AZ488" s="609" t="str">
        <f t="shared" si="110"/>
        <v/>
      </c>
      <c r="BA488" s="609" t="str">
        <f t="shared" si="110"/>
        <v/>
      </c>
      <c r="BB488" s="609" t="str">
        <f t="shared" si="110"/>
        <v/>
      </c>
      <c r="BC488" s="609" t="str">
        <f t="shared" si="109"/>
        <v/>
      </c>
      <c r="BD488" s="609" t="str">
        <f t="shared" si="109"/>
        <v/>
      </c>
      <c r="BE488" s="609" t="str">
        <f t="shared" si="109"/>
        <v/>
      </c>
      <c r="BF488" s="609" t="str">
        <f t="shared" si="109"/>
        <v/>
      </c>
      <c r="BG488" s="609" t="str">
        <f t="shared" si="109"/>
        <v/>
      </c>
    </row>
    <row r="489" spans="2:59" x14ac:dyDescent="0.25">
      <c r="B489" s="654">
        <v>483</v>
      </c>
      <c r="C489" s="654"/>
      <c r="D489" s="654"/>
      <c r="E489" s="655"/>
      <c r="F489" s="654"/>
      <c r="H489" s="609" t="str">
        <f t="shared" si="112"/>
        <v/>
      </c>
      <c r="I489" s="609" t="str">
        <f t="shared" si="112"/>
        <v/>
      </c>
      <c r="J489" s="609" t="str">
        <f t="shared" si="112"/>
        <v/>
      </c>
      <c r="K489" s="609" t="str">
        <f t="shared" si="112"/>
        <v/>
      </c>
      <c r="L489" s="609" t="str">
        <f t="shared" si="112"/>
        <v/>
      </c>
      <c r="M489" s="609" t="str">
        <f t="shared" si="112"/>
        <v/>
      </c>
      <c r="N489" s="609" t="str">
        <f t="shared" si="112"/>
        <v/>
      </c>
      <c r="O489" s="609" t="str">
        <f t="shared" si="112"/>
        <v/>
      </c>
      <c r="P489" s="609" t="str">
        <f t="shared" si="112"/>
        <v/>
      </c>
      <c r="Q489" s="609" t="str">
        <f t="shared" si="112"/>
        <v/>
      </c>
      <c r="R489" s="609" t="str">
        <f t="shared" si="112"/>
        <v/>
      </c>
      <c r="S489" s="609" t="str">
        <f t="shared" si="112"/>
        <v/>
      </c>
      <c r="T489" s="609" t="str">
        <f t="shared" si="112"/>
        <v/>
      </c>
      <c r="U489" s="609" t="str">
        <f t="shared" si="112"/>
        <v/>
      </c>
      <c r="V489" s="609" t="str">
        <f t="shared" si="112"/>
        <v/>
      </c>
      <c r="W489" s="609" t="str">
        <f t="shared" si="112"/>
        <v/>
      </c>
      <c r="X489" s="609" t="str">
        <f t="shared" si="111"/>
        <v/>
      </c>
      <c r="Y489" s="609" t="str">
        <f t="shared" si="111"/>
        <v/>
      </c>
      <c r="Z489" s="609" t="str">
        <f t="shared" si="111"/>
        <v/>
      </c>
      <c r="AA489" s="609" t="str">
        <f t="shared" si="111"/>
        <v/>
      </c>
      <c r="AB489" s="609" t="str">
        <f t="shared" si="111"/>
        <v/>
      </c>
      <c r="AC489" s="609" t="str">
        <f t="shared" si="111"/>
        <v/>
      </c>
      <c r="AD489" s="609" t="str">
        <f t="shared" si="111"/>
        <v/>
      </c>
      <c r="AE489" s="609" t="str">
        <f t="shared" si="111"/>
        <v/>
      </c>
      <c r="AF489" s="609" t="str">
        <f t="shared" si="111"/>
        <v/>
      </c>
      <c r="AG489" s="609" t="str">
        <f t="shared" si="111"/>
        <v/>
      </c>
      <c r="AH489" s="609" t="str">
        <f t="shared" si="111"/>
        <v/>
      </c>
      <c r="AI489" s="609" t="str">
        <f t="shared" si="111"/>
        <v/>
      </c>
      <c r="AJ489" s="609" t="str">
        <f t="shared" si="111"/>
        <v/>
      </c>
      <c r="AK489" s="609" t="str">
        <f t="shared" si="111"/>
        <v/>
      </c>
      <c r="AL489" s="609" t="str">
        <f t="shared" si="111"/>
        <v/>
      </c>
      <c r="AM489" s="609" t="str">
        <f t="shared" si="110"/>
        <v/>
      </c>
      <c r="AN489" s="609" t="str">
        <f t="shared" si="110"/>
        <v/>
      </c>
      <c r="AO489" s="609" t="str">
        <f t="shared" si="110"/>
        <v/>
      </c>
      <c r="AP489" s="609" t="str">
        <f t="shared" si="110"/>
        <v/>
      </c>
      <c r="AQ489" s="609" t="str">
        <f t="shared" si="110"/>
        <v/>
      </c>
      <c r="AR489" s="609" t="str">
        <f t="shared" si="110"/>
        <v/>
      </c>
      <c r="AS489" s="609" t="str">
        <f t="shared" si="110"/>
        <v/>
      </c>
      <c r="AT489" s="609" t="str">
        <f t="shared" si="110"/>
        <v/>
      </c>
      <c r="AU489" s="609" t="str">
        <f t="shared" si="110"/>
        <v/>
      </c>
      <c r="AV489" s="609" t="str">
        <f t="shared" si="110"/>
        <v/>
      </c>
      <c r="AW489" s="609" t="str">
        <f t="shared" si="110"/>
        <v/>
      </c>
      <c r="AX489" s="609" t="str">
        <f t="shared" si="110"/>
        <v/>
      </c>
      <c r="AY489" s="609" t="str">
        <f t="shared" si="110"/>
        <v/>
      </c>
      <c r="AZ489" s="609" t="str">
        <f t="shared" si="110"/>
        <v/>
      </c>
      <c r="BA489" s="609" t="str">
        <f t="shared" si="110"/>
        <v/>
      </c>
      <c r="BB489" s="609" t="str">
        <f t="shared" si="110"/>
        <v/>
      </c>
      <c r="BC489" s="609" t="str">
        <f t="shared" si="109"/>
        <v/>
      </c>
      <c r="BD489" s="609" t="str">
        <f t="shared" si="109"/>
        <v/>
      </c>
      <c r="BE489" s="609" t="str">
        <f t="shared" si="109"/>
        <v/>
      </c>
      <c r="BF489" s="609" t="str">
        <f t="shared" si="109"/>
        <v/>
      </c>
      <c r="BG489" s="609" t="str">
        <f t="shared" si="109"/>
        <v/>
      </c>
    </row>
    <row r="490" spans="2:59" x14ac:dyDescent="0.25">
      <c r="B490" s="654">
        <v>484</v>
      </c>
      <c r="C490" s="654"/>
      <c r="D490" s="654"/>
      <c r="E490" s="655"/>
      <c r="F490" s="654"/>
      <c r="H490" s="609" t="str">
        <f t="shared" si="112"/>
        <v/>
      </c>
      <c r="I490" s="609" t="str">
        <f t="shared" si="112"/>
        <v/>
      </c>
      <c r="J490" s="609" t="str">
        <f t="shared" si="112"/>
        <v/>
      </c>
      <c r="K490" s="609" t="str">
        <f t="shared" si="112"/>
        <v/>
      </c>
      <c r="L490" s="609" t="str">
        <f t="shared" si="112"/>
        <v/>
      </c>
      <c r="M490" s="609" t="str">
        <f t="shared" si="112"/>
        <v/>
      </c>
      <c r="N490" s="609" t="str">
        <f t="shared" si="112"/>
        <v/>
      </c>
      <c r="O490" s="609" t="str">
        <f t="shared" si="112"/>
        <v/>
      </c>
      <c r="P490" s="609" t="str">
        <f t="shared" si="112"/>
        <v/>
      </c>
      <c r="Q490" s="609" t="str">
        <f t="shared" si="112"/>
        <v/>
      </c>
      <c r="R490" s="609" t="str">
        <f t="shared" si="112"/>
        <v/>
      </c>
      <c r="S490" s="609" t="str">
        <f t="shared" si="112"/>
        <v/>
      </c>
      <c r="T490" s="609" t="str">
        <f t="shared" si="112"/>
        <v/>
      </c>
      <c r="U490" s="609" t="str">
        <f t="shared" si="112"/>
        <v/>
      </c>
      <c r="V490" s="609" t="str">
        <f t="shared" si="112"/>
        <v/>
      </c>
      <c r="W490" s="609" t="str">
        <f t="shared" si="112"/>
        <v/>
      </c>
      <c r="X490" s="609" t="str">
        <f t="shared" si="111"/>
        <v/>
      </c>
      <c r="Y490" s="609" t="str">
        <f t="shared" si="111"/>
        <v/>
      </c>
      <c r="Z490" s="609" t="str">
        <f t="shared" si="111"/>
        <v/>
      </c>
      <c r="AA490" s="609" t="str">
        <f t="shared" si="111"/>
        <v/>
      </c>
      <c r="AB490" s="609" t="str">
        <f t="shared" si="111"/>
        <v/>
      </c>
      <c r="AC490" s="609" t="str">
        <f t="shared" si="111"/>
        <v/>
      </c>
      <c r="AD490" s="609" t="str">
        <f t="shared" si="111"/>
        <v/>
      </c>
      <c r="AE490" s="609" t="str">
        <f t="shared" si="111"/>
        <v/>
      </c>
      <c r="AF490" s="609" t="str">
        <f t="shared" si="111"/>
        <v/>
      </c>
      <c r="AG490" s="609" t="str">
        <f t="shared" si="111"/>
        <v/>
      </c>
      <c r="AH490" s="609" t="str">
        <f t="shared" si="111"/>
        <v/>
      </c>
      <c r="AI490" s="609" t="str">
        <f t="shared" si="111"/>
        <v/>
      </c>
      <c r="AJ490" s="609" t="str">
        <f t="shared" si="111"/>
        <v/>
      </c>
      <c r="AK490" s="609" t="str">
        <f t="shared" si="111"/>
        <v/>
      </c>
      <c r="AL490" s="609" t="str">
        <f t="shared" si="111"/>
        <v/>
      </c>
      <c r="AM490" s="609" t="str">
        <f t="shared" si="110"/>
        <v/>
      </c>
      <c r="AN490" s="609" t="str">
        <f t="shared" si="110"/>
        <v/>
      </c>
      <c r="AO490" s="609" t="str">
        <f t="shared" si="110"/>
        <v/>
      </c>
      <c r="AP490" s="609" t="str">
        <f t="shared" si="110"/>
        <v/>
      </c>
      <c r="AQ490" s="609" t="str">
        <f t="shared" si="110"/>
        <v/>
      </c>
      <c r="AR490" s="609" t="str">
        <f t="shared" si="110"/>
        <v/>
      </c>
      <c r="AS490" s="609" t="str">
        <f t="shared" si="110"/>
        <v/>
      </c>
      <c r="AT490" s="609" t="str">
        <f t="shared" si="110"/>
        <v/>
      </c>
      <c r="AU490" s="609" t="str">
        <f t="shared" si="110"/>
        <v/>
      </c>
      <c r="AV490" s="609" t="str">
        <f t="shared" si="110"/>
        <v/>
      </c>
      <c r="AW490" s="609" t="str">
        <f t="shared" si="110"/>
        <v/>
      </c>
      <c r="AX490" s="609" t="str">
        <f t="shared" si="110"/>
        <v/>
      </c>
      <c r="AY490" s="609" t="str">
        <f t="shared" si="110"/>
        <v/>
      </c>
      <c r="AZ490" s="609" t="str">
        <f t="shared" si="110"/>
        <v/>
      </c>
      <c r="BA490" s="609" t="str">
        <f t="shared" si="110"/>
        <v/>
      </c>
      <c r="BB490" s="609" t="str">
        <f t="shared" ref="BB490:BG505" si="113">IF($D490=BB$6,$B490&amp;", ","")</f>
        <v/>
      </c>
      <c r="BC490" s="609" t="str">
        <f t="shared" si="113"/>
        <v/>
      </c>
      <c r="BD490" s="609" t="str">
        <f t="shared" si="113"/>
        <v/>
      </c>
      <c r="BE490" s="609" t="str">
        <f t="shared" si="113"/>
        <v/>
      </c>
      <c r="BF490" s="609" t="str">
        <f t="shared" si="113"/>
        <v/>
      </c>
      <c r="BG490" s="609" t="str">
        <f t="shared" si="113"/>
        <v/>
      </c>
    </row>
    <row r="491" spans="2:59" x14ac:dyDescent="0.25">
      <c r="B491" s="654">
        <v>485</v>
      </c>
      <c r="C491" s="654"/>
      <c r="D491" s="654"/>
      <c r="E491" s="655"/>
      <c r="F491" s="654"/>
      <c r="H491" s="609" t="str">
        <f t="shared" si="112"/>
        <v/>
      </c>
      <c r="I491" s="609" t="str">
        <f t="shared" si="112"/>
        <v/>
      </c>
      <c r="J491" s="609" t="str">
        <f t="shared" si="112"/>
        <v/>
      </c>
      <c r="K491" s="609" t="str">
        <f t="shared" si="112"/>
        <v/>
      </c>
      <c r="L491" s="609" t="str">
        <f t="shared" si="112"/>
        <v/>
      </c>
      <c r="M491" s="609" t="str">
        <f t="shared" si="112"/>
        <v/>
      </c>
      <c r="N491" s="609" t="str">
        <f t="shared" si="112"/>
        <v/>
      </c>
      <c r="O491" s="609" t="str">
        <f t="shared" si="112"/>
        <v/>
      </c>
      <c r="P491" s="609" t="str">
        <f t="shared" si="112"/>
        <v/>
      </c>
      <c r="Q491" s="609" t="str">
        <f t="shared" si="112"/>
        <v/>
      </c>
      <c r="R491" s="609" t="str">
        <f t="shared" si="112"/>
        <v/>
      </c>
      <c r="S491" s="609" t="str">
        <f t="shared" si="112"/>
        <v/>
      </c>
      <c r="T491" s="609" t="str">
        <f t="shared" si="112"/>
        <v/>
      </c>
      <c r="U491" s="609" t="str">
        <f t="shared" si="112"/>
        <v/>
      </c>
      <c r="V491" s="609" t="str">
        <f t="shared" si="112"/>
        <v/>
      </c>
      <c r="W491" s="609" t="str">
        <f t="shared" si="112"/>
        <v/>
      </c>
      <c r="X491" s="609" t="str">
        <f t="shared" si="111"/>
        <v/>
      </c>
      <c r="Y491" s="609" t="str">
        <f t="shared" si="111"/>
        <v/>
      </c>
      <c r="Z491" s="609" t="str">
        <f t="shared" si="111"/>
        <v/>
      </c>
      <c r="AA491" s="609" t="str">
        <f t="shared" si="111"/>
        <v/>
      </c>
      <c r="AB491" s="609" t="str">
        <f t="shared" si="111"/>
        <v/>
      </c>
      <c r="AC491" s="609" t="str">
        <f t="shared" si="111"/>
        <v/>
      </c>
      <c r="AD491" s="609" t="str">
        <f t="shared" si="111"/>
        <v/>
      </c>
      <c r="AE491" s="609" t="str">
        <f t="shared" si="111"/>
        <v/>
      </c>
      <c r="AF491" s="609" t="str">
        <f t="shared" si="111"/>
        <v/>
      </c>
      <c r="AG491" s="609" t="str">
        <f t="shared" si="111"/>
        <v/>
      </c>
      <c r="AH491" s="609" t="str">
        <f t="shared" si="111"/>
        <v/>
      </c>
      <c r="AI491" s="609" t="str">
        <f t="shared" si="111"/>
        <v/>
      </c>
      <c r="AJ491" s="609" t="str">
        <f t="shared" si="111"/>
        <v/>
      </c>
      <c r="AK491" s="609" t="str">
        <f t="shared" si="111"/>
        <v/>
      </c>
      <c r="AL491" s="609" t="str">
        <f t="shared" si="111"/>
        <v/>
      </c>
      <c r="AM491" s="609" t="str">
        <f t="shared" ref="AM491:BB506" si="114">IF($D491=AM$6,$B491&amp;", ","")</f>
        <v/>
      </c>
      <c r="AN491" s="609" t="str">
        <f t="shared" si="114"/>
        <v/>
      </c>
      <c r="AO491" s="609" t="str">
        <f t="shared" si="114"/>
        <v/>
      </c>
      <c r="AP491" s="609" t="str">
        <f t="shared" si="114"/>
        <v/>
      </c>
      <c r="AQ491" s="609" t="str">
        <f t="shared" si="114"/>
        <v/>
      </c>
      <c r="AR491" s="609" t="str">
        <f t="shared" si="114"/>
        <v/>
      </c>
      <c r="AS491" s="609" t="str">
        <f t="shared" si="114"/>
        <v/>
      </c>
      <c r="AT491" s="609" t="str">
        <f t="shared" si="114"/>
        <v/>
      </c>
      <c r="AU491" s="609" t="str">
        <f t="shared" si="114"/>
        <v/>
      </c>
      <c r="AV491" s="609" t="str">
        <f t="shared" si="114"/>
        <v/>
      </c>
      <c r="AW491" s="609" t="str">
        <f t="shared" si="114"/>
        <v/>
      </c>
      <c r="AX491" s="609" t="str">
        <f t="shared" si="114"/>
        <v/>
      </c>
      <c r="AY491" s="609" t="str">
        <f t="shared" si="114"/>
        <v/>
      </c>
      <c r="AZ491" s="609" t="str">
        <f t="shared" si="114"/>
        <v/>
      </c>
      <c r="BA491" s="609" t="str">
        <f t="shared" si="114"/>
        <v/>
      </c>
      <c r="BB491" s="609" t="str">
        <f t="shared" si="114"/>
        <v/>
      </c>
      <c r="BC491" s="609" t="str">
        <f t="shared" si="113"/>
        <v/>
      </c>
      <c r="BD491" s="609" t="str">
        <f t="shared" si="113"/>
        <v/>
      </c>
      <c r="BE491" s="609" t="str">
        <f t="shared" si="113"/>
        <v/>
      </c>
      <c r="BF491" s="609" t="str">
        <f t="shared" si="113"/>
        <v/>
      </c>
      <c r="BG491" s="609" t="str">
        <f t="shared" si="113"/>
        <v/>
      </c>
    </row>
    <row r="492" spans="2:59" x14ac:dyDescent="0.25">
      <c r="B492" s="654">
        <v>486</v>
      </c>
      <c r="C492" s="654"/>
      <c r="D492" s="654"/>
      <c r="E492" s="655"/>
      <c r="F492" s="654"/>
      <c r="H492" s="609" t="str">
        <f t="shared" si="112"/>
        <v/>
      </c>
      <c r="I492" s="609" t="str">
        <f t="shared" si="112"/>
        <v/>
      </c>
      <c r="J492" s="609" t="str">
        <f t="shared" si="112"/>
        <v/>
      </c>
      <c r="K492" s="609" t="str">
        <f t="shared" si="112"/>
        <v/>
      </c>
      <c r="L492" s="609" t="str">
        <f t="shared" si="112"/>
        <v/>
      </c>
      <c r="M492" s="609" t="str">
        <f t="shared" si="112"/>
        <v/>
      </c>
      <c r="N492" s="609" t="str">
        <f t="shared" si="112"/>
        <v/>
      </c>
      <c r="O492" s="609" t="str">
        <f t="shared" si="112"/>
        <v/>
      </c>
      <c r="P492" s="609" t="str">
        <f t="shared" si="112"/>
        <v/>
      </c>
      <c r="Q492" s="609" t="str">
        <f t="shared" si="112"/>
        <v/>
      </c>
      <c r="R492" s="609" t="str">
        <f t="shared" si="112"/>
        <v/>
      </c>
      <c r="S492" s="609" t="str">
        <f t="shared" si="112"/>
        <v/>
      </c>
      <c r="T492" s="609" t="str">
        <f t="shared" si="112"/>
        <v/>
      </c>
      <c r="U492" s="609" t="str">
        <f t="shared" si="112"/>
        <v/>
      </c>
      <c r="V492" s="609" t="str">
        <f t="shared" si="112"/>
        <v/>
      </c>
      <c r="W492" s="609" t="str">
        <f t="shared" si="112"/>
        <v/>
      </c>
      <c r="X492" s="609" t="str">
        <f t="shared" si="111"/>
        <v/>
      </c>
      <c r="Y492" s="609" t="str">
        <f t="shared" si="111"/>
        <v/>
      </c>
      <c r="Z492" s="609" t="str">
        <f t="shared" si="111"/>
        <v/>
      </c>
      <c r="AA492" s="609" t="str">
        <f t="shared" si="111"/>
        <v/>
      </c>
      <c r="AB492" s="609" t="str">
        <f t="shared" si="111"/>
        <v/>
      </c>
      <c r="AC492" s="609" t="str">
        <f t="shared" si="111"/>
        <v/>
      </c>
      <c r="AD492" s="609" t="str">
        <f t="shared" si="111"/>
        <v/>
      </c>
      <c r="AE492" s="609" t="str">
        <f t="shared" si="111"/>
        <v/>
      </c>
      <c r="AF492" s="609" t="str">
        <f t="shared" si="111"/>
        <v/>
      </c>
      <c r="AG492" s="609" t="str">
        <f t="shared" si="111"/>
        <v/>
      </c>
      <c r="AH492" s="609" t="str">
        <f t="shared" si="111"/>
        <v/>
      </c>
      <c r="AI492" s="609" t="str">
        <f t="shared" si="111"/>
        <v/>
      </c>
      <c r="AJ492" s="609" t="str">
        <f t="shared" si="111"/>
        <v/>
      </c>
      <c r="AK492" s="609" t="str">
        <f t="shared" si="111"/>
        <v/>
      </c>
      <c r="AL492" s="609" t="str">
        <f t="shared" si="111"/>
        <v/>
      </c>
      <c r="AM492" s="609" t="str">
        <f t="shared" si="114"/>
        <v/>
      </c>
      <c r="AN492" s="609" t="str">
        <f t="shared" si="114"/>
        <v/>
      </c>
      <c r="AO492" s="609" t="str">
        <f t="shared" si="114"/>
        <v/>
      </c>
      <c r="AP492" s="609" t="str">
        <f t="shared" si="114"/>
        <v/>
      </c>
      <c r="AQ492" s="609" t="str">
        <f t="shared" si="114"/>
        <v/>
      </c>
      <c r="AR492" s="609" t="str">
        <f t="shared" si="114"/>
        <v/>
      </c>
      <c r="AS492" s="609" t="str">
        <f t="shared" si="114"/>
        <v/>
      </c>
      <c r="AT492" s="609" t="str">
        <f t="shared" si="114"/>
        <v/>
      </c>
      <c r="AU492" s="609" t="str">
        <f t="shared" si="114"/>
        <v/>
      </c>
      <c r="AV492" s="609" t="str">
        <f t="shared" si="114"/>
        <v/>
      </c>
      <c r="AW492" s="609" t="str">
        <f t="shared" si="114"/>
        <v/>
      </c>
      <c r="AX492" s="609" t="str">
        <f t="shared" si="114"/>
        <v/>
      </c>
      <c r="AY492" s="609" t="str">
        <f t="shared" si="114"/>
        <v/>
      </c>
      <c r="AZ492" s="609" t="str">
        <f t="shared" si="114"/>
        <v/>
      </c>
      <c r="BA492" s="609" t="str">
        <f t="shared" si="114"/>
        <v/>
      </c>
      <c r="BB492" s="609" t="str">
        <f t="shared" si="114"/>
        <v/>
      </c>
      <c r="BC492" s="609" t="str">
        <f t="shared" si="113"/>
        <v/>
      </c>
      <c r="BD492" s="609" t="str">
        <f t="shared" si="113"/>
        <v/>
      </c>
      <c r="BE492" s="609" t="str">
        <f t="shared" si="113"/>
        <v/>
      </c>
      <c r="BF492" s="609" t="str">
        <f t="shared" si="113"/>
        <v/>
      </c>
      <c r="BG492" s="609" t="str">
        <f t="shared" si="113"/>
        <v/>
      </c>
    </row>
    <row r="493" spans="2:59" x14ac:dyDescent="0.25">
      <c r="B493" s="654">
        <v>487</v>
      </c>
      <c r="C493" s="654"/>
      <c r="D493" s="654"/>
      <c r="E493" s="655"/>
      <c r="F493" s="654"/>
      <c r="H493" s="609" t="str">
        <f t="shared" si="112"/>
        <v/>
      </c>
      <c r="I493" s="609" t="str">
        <f t="shared" si="112"/>
        <v/>
      </c>
      <c r="J493" s="609" t="str">
        <f t="shared" si="112"/>
        <v/>
      </c>
      <c r="K493" s="609" t="str">
        <f t="shared" si="112"/>
        <v/>
      </c>
      <c r="L493" s="609" t="str">
        <f t="shared" si="112"/>
        <v/>
      </c>
      <c r="M493" s="609" t="str">
        <f t="shared" si="112"/>
        <v/>
      </c>
      <c r="N493" s="609" t="str">
        <f t="shared" si="112"/>
        <v/>
      </c>
      <c r="O493" s="609" t="str">
        <f t="shared" si="112"/>
        <v/>
      </c>
      <c r="P493" s="609" t="str">
        <f t="shared" si="112"/>
        <v/>
      </c>
      <c r="Q493" s="609" t="str">
        <f t="shared" si="112"/>
        <v/>
      </c>
      <c r="R493" s="609" t="str">
        <f t="shared" si="112"/>
        <v/>
      </c>
      <c r="S493" s="609" t="str">
        <f t="shared" si="112"/>
        <v/>
      </c>
      <c r="T493" s="609" t="str">
        <f t="shared" si="112"/>
        <v/>
      </c>
      <c r="U493" s="609" t="str">
        <f t="shared" si="112"/>
        <v/>
      </c>
      <c r="V493" s="609" t="str">
        <f t="shared" si="112"/>
        <v/>
      </c>
      <c r="W493" s="609" t="str">
        <f t="shared" si="112"/>
        <v/>
      </c>
      <c r="X493" s="609" t="str">
        <f t="shared" si="111"/>
        <v/>
      </c>
      <c r="Y493" s="609" t="str">
        <f t="shared" si="111"/>
        <v/>
      </c>
      <c r="Z493" s="609" t="str">
        <f t="shared" si="111"/>
        <v/>
      </c>
      <c r="AA493" s="609" t="str">
        <f t="shared" si="111"/>
        <v/>
      </c>
      <c r="AB493" s="609" t="str">
        <f t="shared" si="111"/>
        <v/>
      </c>
      <c r="AC493" s="609" t="str">
        <f t="shared" si="111"/>
        <v/>
      </c>
      <c r="AD493" s="609" t="str">
        <f t="shared" si="111"/>
        <v/>
      </c>
      <c r="AE493" s="609" t="str">
        <f t="shared" si="111"/>
        <v/>
      </c>
      <c r="AF493" s="609" t="str">
        <f t="shared" si="111"/>
        <v/>
      </c>
      <c r="AG493" s="609" t="str">
        <f t="shared" si="111"/>
        <v/>
      </c>
      <c r="AH493" s="609" t="str">
        <f t="shared" si="111"/>
        <v/>
      </c>
      <c r="AI493" s="609" t="str">
        <f t="shared" si="111"/>
        <v/>
      </c>
      <c r="AJ493" s="609" t="str">
        <f t="shared" si="111"/>
        <v/>
      </c>
      <c r="AK493" s="609" t="str">
        <f t="shared" si="111"/>
        <v/>
      </c>
      <c r="AL493" s="609" t="str">
        <f t="shared" si="111"/>
        <v/>
      </c>
      <c r="AM493" s="609" t="str">
        <f t="shared" si="114"/>
        <v/>
      </c>
      <c r="AN493" s="609" t="str">
        <f t="shared" si="114"/>
        <v/>
      </c>
      <c r="AO493" s="609" t="str">
        <f t="shared" si="114"/>
        <v/>
      </c>
      <c r="AP493" s="609" t="str">
        <f t="shared" si="114"/>
        <v/>
      </c>
      <c r="AQ493" s="609" t="str">
        <f t="shared" si="114"/>
        <v/>
      </c>
      <c r="AR493" s="609" t="str">
        <f t="shared" si="114"/>
        <v/>
      </c>
      <c r="AS493" s="609" t="str">
        <f t="shared" si="114"/>
        <v/>
      </c>
      <c r="AT493" s="609" t="str">
        <f t="shared" si="114"/>
        <v/>
      </c>
      <c r="AU493" s="609" t="str">
        <f t="shared" si="114"/>
        <v/>
      </c>
      <c r="AV493" s="609" t="str">
        <f t="shared" si="114"/>
        <v/>
      </c>
      <c r="AW493" s="609" t="str">
        <f t="shared" si="114"/>
        <v/>
      </c>
      <c r="AX493" s="609" t="str">
        <f t="shared" si="114"/>
        <v/>
      </c>
      <c r="AY493" s="609" t="str">
        <f t="shared" si="114"/>
        <v/>
      </c>
      <c r="AZ493" s="609" t="str">
        <f t="shared" si="114"/>
        <v/>
      </c>
      <c r="BA493" s="609" t="str">
        <f t="shared" si="114"/>
        <v/>
      </c>
      <c r="BB493" s="609" t="str">
        <f t="shared" si="114"/>
        <v/>
      </c>
      <c r="BC493" s="609" t="str">
        <f t="shared" si="113"/>
        <v/>
      </c>
      <c r="BD493" s="609" t="str">
        <f t="shared" si="113"/>
        <v/>
      </c>
      <c r="BE493" s="609" t="str">
        <f t="shared" si="113"/>
        <v/>
      </c>
      <c r="BF493" s="609" t="str">
        <f t="shared" si="113"/>
        <v/>
      </c>
      <c r="BG493" s="609" t="str">
        <f t="shared" si="113"/>
        <v/>
      </c>
    </row>
    <row r="494" spans="2:59" x14ac:dyDescent="0.25">
      <c r="B494" s="654">
        <v>488</v>
      </c>
      <c r="C494" s="654"/>
      <c r="D494" s="654"/>
      <c r="E494" s="655"/>
      <c r="F494" s="654"/>
      <c r="H494" s="609" t="str">
        <f t="shared" si="112"/>
        <v/>
      </c>
      <c r="I494" s="609" t="str">
        <f t="shared" si="112"/>
        <v/>
      </c>
      <c r="J494" s="609" t="str">
        <f t="shared" si="112"/>
        <v/>
      </c>
      <c r="K494" s="609" t="str">
        <f t="shared" si="112"/>
        <v/>
      </c>
      <c r="L494" s="609" t="str">
        <f t="shared" si="112"/>
        <v/>
      </c>
      <c r="M494" s="609" t="str">
        <f t="shared" si="112"/>
        <v/>
      </c>
      <c r="N494" s="609" t="str">
        <f t="shared" si="112"/>
        <v/>
      </c>
      <c r="O494" s="609" t="str">
        <f t="shared" si="112"/>
        <v/>
      </c>
      <c r="P494" s="609" t="str">
        <f t="shared" si="112"/>
        <v/>
      </c>
      <c r="Q494" s="609" t="str">
        <f t="shared" si="112"/>
        <v/>
      </c>
      <c r="R494" s="609" t="str">
        <f t="shared" si="112"/>
        <v/>
      </c>
      <c r="S494" s="609" t="str">
        <f t="shared" si="112"/>
        <v/>
      </c>
      <c r="T494" s="609" t="str">
        <f t="shared" si="112"/>
        <v/>
      </c>
      <c r="U494" s="609" t="str">
        <f t="shared" si="112"/>
        <v/>
      </c>
      <c r="V494" s="609" t="str">
        <f t="shared" si="112"/>
        <v/>
      </c>
      <c r="W494" s="609" t="str">
        <f t="shared" si="112"/>
        <v/>
      </c>
      <c r="X494" s="609" t="str">
        <f t="shared" si="111"/>
        <v/>
      </c>
      <c r="Y494" s="609" t="str">
        <f t="shared" si="111"/>
        <v/>
      </c>
      <c r="Z494" s="609" t="str">
        <f t="shared" si="111"/>
        <v/>
      </c>
      <c r="AA494" s="609" t="str">
        <f t="shared" si="111"/>
        <v/>
      </c>
      <c r="AB494" s="609" t="str">
        <f t="shared" si="111"/>
        <v/>
      </c>
      <c r="AC494" s="609" t="str">
        <f t="shared" si="111"/>
        <v/>
      </c>
      <c r="AD494" s="609" t="str">
        <f t="shared" si="111"/>
        <v/>
      </c>
      <c r="AE494" s="609" t="str">
        <f t="shared" si="111"/>
        <v/>
      </c>
      <c r="AF494" s="609" t="str">
        <f t="shared" si="111"/>
        <v/>
      </c>
      <c r="AG494" s="609" t="str">
        <f t="shared" si="111"/>
        <v/>
      </c>
      <c r="AH494" s="609" t="str">
        <f t="shared" si="111"/>
        <v/>
      </c>
      <c r="AI494" s="609" t="str">
        <f t="shared" si="111"/>
        <v/>
      </c>
      <c r="AJ494" s="609" t="str">
        <f t="shared" si="111"/>
        <v/>
      </c>
      <c r="AK494" s="609" t="str">
        <f t="shared" si="111"/>
        <v/>
      </c>
      <c r="AL494" s="609" t="str">
        <f t="shared" si="111"/>
        <v/>
      </c>
      <c r="AM494" s="609" t="str">
        <f t="shared" si="114"/>
        <v/>
      </c>
      <c r="AN494" s="609" t="str">
        <f t="shared" si="114"/>
        <v/>
      </c>
      <c r="AO494" s="609" t="str">
        <f t="shared" si="114"/>
        <v/>
      </c>
      <c r="AP494" s="609" t="str">
        <f t="shared" si="114"/>
        <v/>
      </c>
      <c r="AQ494" s="609" t="str">
        <f t="shared" si="114"/>
        <v/>
      </c>
      <c r="AR494" s="609" t="str">
        <f t="shared" si="114"/>
        <v/>
      </c>
      <c r="AS494" s="609" t="str">
        <f t="shared" si="114"/>
        <v/>
      </c>
      <c r="AT494" s="609" t="str">
        <f t="shared" si="114"/>
        <v/>
      </c>
      <c r="AU494" s="609" t="str">
        <f t="shared" si="114"/>
        <v/>
      </c>
      <c r="AV494" s="609" t="str">
        <f t="shared" si="114"/>
        <v/>
      </c>
      <c r="AW494" s="609" t="str">
        <f t="shared" si="114"/>
        <v/>
      </c>
      <c r="AX494" s="609" t="str">
        <f t="shared" si="114"/>
        <v/>
      </c>
      <c r="AY494" s="609" t="str">
        <f t="shared" si="114"/>
        <v/>
      </c>
      <c r="AZ494" s="609" t="str">
        <f t="shared" si="114"/>
        <v/>
      </c>
      <c r="BA494" s="609" t="str">
        <f t="shared" si="114"/>
        <v/>
      </c>
      <c r="BB494" s="609" t="str">
        <f t="shared" si="114"/>
        <v/>
      </c>
      <c r="BC494" s="609" t="str">
        <f t="shared" si="113"/>
        <v/>
      </c>
      <c r="BD494" s="609" t="str">
        <f t="shared" si="113"/>
        <v/>
      </c>
      <c r="BE494" s="609" t="str">
        <f t="shared" si="113"/>
        <v/>
      </c>
      <c r="BF494" s="609" t="str">
        <f t="shared" si="113"/>
        <v/>
      </c>
      <c r="BG494" s="609" t="str">
        <f t="shared" si="113"/>
        <v/>
      </c>
    </row>
    <row r="495" spans="2:59" x14ac:dyDescent="0.25">
      <c r="B495" s="654">
        <v>489</v>
      </c>
      <c r="C495" s="654"/>
      <c r="D495" s="654"/>
      <c r="E495" s="655"/>
      <c r="F495" s="654"/>
      <c r="H495" s="609" t="str">
        <f t="shared" si="112"/>
        <v/>
      </c>
      <c r="I495" s="609" t="str">
        <f t="shared" si="112"/>
        <v/>
      </c>
      <c r="J495" s="609" t="str">
        <f t="shared" si="112"/>
        <v/>
      </c>
      <c r="K495" s="609" t="str">
        <f t="shared" si="112"/>
        <v/>
      </c>
      <c r="L495" s="609" t="str">
        <f t="shared" si="112"/>
        <v/>
      </c>
      <c r="M495" s="609" t="str">
        <f t="shared" si="112"/>
        <v/>
      </c>
      <c r="N495" s="609" t="str">
        <f t="shared" si="112"/>
        <v/>
      </c>
      <c r="O495" s="609" t="str">
        <f t="shared" si="112"/>
        <v/>
      </c>
      <c r="P495" s="609" t="str">
        <f t="shared" si="112"/>
        <v/>
      </c>
      <c r="Q495" s="609" t="str">
        <f t="shared" si="112"/>
        <v/>
      </c>
      <c r="R495" s="609" t="str">
        <f t="shared" si="112"/>
        <v/>
      </c>
      <c r="S495" s="609" t="str">
        <f t="shared" si="112"/>
        <v/>
      </c>
      <c r="T495" s="609" t="str">
        <f t="shared" si="112"/>
        <v/>
      </c>
      <c r="U495" s="609" t="str">
        <f t="shared" si="112"/>
        <v/>
      </c>
      <c r="V495" s="609" t="str">
        <f t="shared" si="112"/>
        <v/>
      </c>
      <c r="W495" s="609" t="str">
        <f t="shared" si="112"/>
        <v/>
      </c>
      <c r="X495" s="609" t="str">
        <f t="shared" si="111"/>
        <v/>
      </c>
      <c r="Y495" s="609" t="str">
        <f t="shared" si="111"/>
        <v/>
      </c>
      <c r="Z495" s="609" t="str">
        <f t="shared" si="111"/>
        <v/>
      </c>
      <c r="AA495" s="609" t="str">
        <f t="shared" si="111"/>
        <v/>
      </c>
      <c r="AB495" s="609" t="str">
        <f t="shared" si="111"/>
        <v/>
      </c>
      <c r="AC495" s="609" t="str">
        <f t="shared" si="111"/>
        <v/>
      </c>
      <c r="AD495" s="609" t="str">
        <f t="shared" si="111"/>
        <v/>
      </c>
      <c r="AE495" s="609" t="str">
        <f t="shared" si="111"/>
        <v/>
      </c>
      <c r="AF495" s="609" t="str">
        <f t="shared" si="111"/>
        <v/>
      </c>
      <c r="AG495" s="609" t="str">
        <f t="shared" si="111"/>
        <v/>
      </c>
      <c r="AH495" s="609" t="str">
        <f t="shared" si="111"/>
        <v/>
      </c>
      <c r="AI495" s="609" t="str">
        <f t="shared" si="111"/>
        <v/>
      </c>
      <c r="AJ495" s="609" t="str">
        <f t="shared" si="111"/>
        <v/>
      </c>
      <c r="AK495" s="609" t="str">
        <f t="shared" si="111"/>
        <v/>
      </c>
      <c r="AL495" s="609" t="str">
        <f t="shared" si="111"/>
        <v/>
      </c>
      <c r="AM495" s="609" t="str">
        <f t="shared" si="114"/>
        <v/>
      </c>
      <c r="AN495" s="609" t="str">
        <f t="shared" si="114"/>
        <v/>
      </c>
      <c r="AO495" s="609" t="str">
        <f t="shared" si="114"/>
        <v/>
      </c>
      <c r="AP495" s="609" t="str">
        <f t="shared" si="114"/>
        <v/>
      </c>
      <c r="AQ495" s="609" t="str">
        <f t="shared" si="114"/>
        <v/>
      </c>
      <c r="AR495" s="609" t="str">
        <f t="shared" si="114"/>
        <v/>
      </c>
      <c r="AS495" s="609" t="str">
        <f t="shared" si="114"/>
        <v/>
      </c>
      <c r="AT495" s="609" t="str">
        <f t="shared" si="114"/>
        <v/>
      </c>
      <c r="AU495" s="609" t="str">
        <f t="shared" si="114"/>
        <v/>
      </c>
      <c r="AV495" s="609" t="str">
        <f t="shared" si="114"/>
        <v/>
      </c>
      <c r="AW495" s="609" t="str">
        <f t="shared" si="114"/>
        <v/>
      </c>
      <c r="AX495" s="609" t="str">
        <f t="shared" si="114"/>
        <v/>
      </c>
      <c r="AY495" s="609" t="str">
        <f t="shared" si="114"/>
        <v/>
      </c>
      <c r="AZ495" s="609" t="str">
        <f t="shared" si="114"/>
        <v/>
      </c>
      <c r="BA495" s="609" t="str">
        <f t="shared" si="114"/>
        <v/>
      </c>
      <c r="BB495" s="609" t="str">
        <f t="shared" si="114"/>
        <v/>
      </c>
      <c r="BC495" s="609" t="str">
        <f t="shared" si="113"/>
        <v/>
      </c>
      <c r="BD495" s="609" t="str">
        <f t="shared" si="113"/>
        <v/>
      </c>
      <c r="BE495" s="609" t="str">
        <f t="shared" si="113"/>
        <v/>
      </c>
      <c r="BF495" s="609" t="str">
        <f t="shared" si="113"/>
        <v/>
      </c>
      <c r="BG495" s="609" t="str">
        <f t="shared" si="113"/>
        <v/>
      </c>
    </row>
    <row r="496" spans="2:59" x14ac:dyDescent="0.25">
      <c r="B496" s="654">
        <v>490</v>
      </c>
      <c r="C496" s="654"/>
      <c r="D496" s="654"/>
      <c r="E496" s="655"/>
      <c r="F496" s="654"/>
      <c r="H496" s="609" t="str">
        <f t="shared" si="112"/>
        <v/>
      </c>
      <c r="I496" s="609" t="str">
        <f t="shared" si="112"/>
        <v/>
      </c>
      <c r="J496" s="609" t="str">
        <f t="shared" si="112"/>
        <v/>
      </c>
      <c r="K496" s="609" t="str">
        <f t="shared" si="112"/>
        <v/>
      </c>
      <c r="L496" s="609" t="str">
        <f t="shared" si="112"/>
        <v/>
      </c>
      <c r="M496" s="609" t="str">
        <f t="shared" si="112"/>
        <v/>
      </c>
      <c r="N496" s="609" t="str">
        <f t="shared" si="112"/>
        <v/>
      </c>
      <c r="O496" s="609" t="str">
        <f t="shared" si="112"/>
        <v/>
      </c>
      <c r="P496" s="609" t="str">
        <f t="shared" si="112"/>
        <v/>
      </c>
      <c r="Q496" s="609" t="str">
        <f t="shared" si="112"/>
        <v/>
      </c>
      <c r="R496" s="609" t="str">
        <f t="shared" si="112"/>
        <v/>
      </c>
      <c r="S496" s="609" t="str">
        <f t="shared" si="112"/>
        <v/>
      </c>
      <c r="T496" s="609" t="str">
        <f t="shared" si="112"/>
        <v/>
      </c>
      <c r="U496" s="609" t="str">
        <f t="shared" si="112"/>
        <v/>
      </c>
      <c r="V496" s="609" t="str">
        <f t="shared" si="112"/>
        <v/>
      </c>
      <c r="W496" s="609" t="str">
        <f t="shared" si="112"/>
        <v/>
      </c>
      <c r="X496" s="609" t="str">
        <f t="shared" si="111"/>
        <v/>
      </c>
      <c r="Y496" s="609" t="str">
        <f t="shared" si="111"/>
        <v/>
      </c>
      <c r="Z496" s="609" t="str">
        <f t="shared" si="111"/>
        <v/>
      </c>
      <c r="AA496" s="609" t="str">
        <f t="shared" si="111"/>
        <v/>
      </c>
      <c r="AB496" s="609" t="str">
        <f t="shared" si="111"/>
        <v/>
      </c>
      <c r="AC496" s="609" t="str">
        <f t="shared" si="111"/>
        <v/>
      </c>
      <c r="AD496" s="609" t="str">
        <f t="shared" si="111"/>
        <v/>
      </c>
      <c r="AE496" s="609" t="str">
        <f t="shared" si="111"/>
        <v/>
      </c>
      <c r="AF496" s="609" t="str">
        <f t="shared" si="111"/>
        <v/>
      </c>
      <c r="AG496" s="609" t="str">
        <f t="shared" si="111"/>
        <v/>
      </c>
      <c r="AH496" s="609" t="str">
        <f t="shared" si="111"/>
        <v/>
      </c>
      <c r="AI496" s="609" t="str">
        <f t="shared" si="111"/>
        <v/>
      </c>
      <c r="AJ496" s="609" t="str">
        <f t="shared" si="111"/>
        <v/>
      </c>
      <c r="AK496" s="609" t="str">
        <f t="shared" si="111"/>
        <v/>
      </c>
      <c r="AL496" s="609" t="str">
        <f t="shared" si="111"/>
        <v/>
      </c>
      <c r="AM496" s="609" t="str">
        <f t="shared" si="114"/>
        <v/>
      </c>
      <c r="AN496" s="609" t="str">
        <f t="shared" si="114"/>
        <v/>
      </c>
      <c r="AO496" s="609" t="str">
        <f t="shared" si="114"/>
        <v/>
      </c>
      <c r="AP496" s="609" t="str">
        <f t="shared" si="114"/>
        <v/>
      </c>
      <c r="AQ496" s="609" t="str">
        <f t="shared" si="114"/>
        <v/>
      </c>
      <c r="AR496" s="609" t="str">
        <f t="shared" si="114"/>
        <v/>
      </c>
      <c r="AS496" s="609" t="str">
        <f t="shared" si="114"/>
        <v/>
      </c>
      <c r="AT496" s="609" t="str">
        <f t="shared" si="114"/>
        <v/>
      </c>
      <c r="AU496" s="609" t="str">
        <f t="shared" si="114"/>
        <v/>
      </c>
      <c r="AV496" s="609" t="str">
        <f t="shared" si="114"/>
        <v/>
      </c>
      <c r="AW496" s="609" t="str">
        <f t="shared" si="114"/>
        <v/>
      </c>
      <c r="AX496" s="609" t="str">
        <f t="shared" si="114"/>
        <v/>
      </c>
      <c r="AY496" s="609" t="str">
        <f t="shared" si="114"/>
        <v/>
      </c>
      <c r="AZ496" s="609" t="str">
        <f t="shared" si="114"/>
        <v/>
      </c>
      <c r="BA496" s="609" t="str">
        <f t="shared" si="114"/>
        <v/>
      </c>
      <c r="BB496" s="609" t="str">
        <f t="shared" si="114"/>
        <v/>
      </c>
      <c r="BC496" s="609" t="str">
        <f t="shared" si="113"/>
        <v/>
      </c>
      <c r="BD496" s="609" t="str">
        <f t="shared" si="113"/>
        <v/>
      </c>
      <c r="BE496" s="609" t="str">
        <f t="shared" si="113"/>
        <v/>
      </c>
      <c r="BF496" s="609" t="str">
        <f t="shared" si="113"/>
        <v/>
      </c>
      <c r="BG496" s="609" t="str">
        <f t="shared" si="113"/>
        <v/>
      </c>
    </row>
    <row r="497" spans="2:59" x14ac:dyDescent="0.25">
      <c r="B497" s="654">
        <v>491</v>
      </c>
      <c r="C497" s="654"/>
      <c r="D497" s="654"/>
      <c r="E497" s="655"/>
      <c r="F497" s="654"/>
      <c r="H497" s="609" t="str">
        <f t="shared" si="112"/>
        <v/>
      </c>
      <c r="I497" s="609" t="str">
        <f t="shared" si="112"/>
        <v/>
      </c>
      <c r="J497" s="609" t="str">
        <f t="shared" si="112"/>
        <v/>
      </c>
      <c r="K497" s="609" t="str">
        <f t="shared" si="112"/>
        <v/>
      </c>
      <c r="L497" s="609" t="str">
        <f t="shared" si="112"/>
        <v/>
      </c>
      <c r="M497" s="609" t="str">
        <f t="shared" si="112"/>
        <v/>
      </c>
      <c r="N497" s="609" t="str">
        <f t="shared" si="112"/>
        <v/>
      </c>
      <c r="O497" s="609" t="str">
        <f t="shared" si="112"/>
        <v/>
      </c>
      <c r="P497" s="609" t="str">
        <f t="shared" si="112"/>
        <v/>
      </c>
      <c r="Q497" s="609" t="str">
        <f t="shared" si="112"/>
        <v/>
      </c>
      <c r="R497" s="609" t="str">
        <f t="shared" si="112"/>
        <v/>
      </c>
      <c r="S497" s="609" t="str">
        <f t="shared" si="112"/>
        <v/>
      </c>
      <c r="T497" s="609" t="str">
        <f t="shared" si="112"/>
        <v/>
      </c>
      <c r="U497" s="609" t="str">
        <f t="shared" si="112"/>
        <v/>
      </c>
      <c r="V497" s="609" t="str">
        <f t="shared" si="112"/>
        <v/>
      </c>
      <c r="W497" s="609" t="str">
        <f t="shared" si="112"/>
        <v/>
      </c>
      <c r="X497" s="609" t="str">
        <f t="shared" si="111"/>
        <v/>
      </c>
      <c r="Y497" s="609" t="str">
        <f t="shared" si="111"/>
        <v/>
      </c>
      <c r="Z497" s="609" t="str">
        <f t="shared" si="111"/>
        <v/>
      </c>
      <c r="AA497" s="609" t="str">
        <f t="shared" si="111"/>
        <v/>
      </c>
      <c r="AB497" s="609" t="str">
        <f t="shared" si="111"/>
        <v/>
      </c>
      <c r="AC497" s="609" t="str">
        <f t="shared" si="111"/>
        <v/>
      </c>
      <c r="AD497" s="609" t="str">
        <f t="shared" si="111"/>
        <v/>
      </c>
      <c r="AE497" s="609" t="str">
        <f t="shared" si="111"/>
        <v/>
      </c>
      <c r="AF497" s="609" t="str">
        <f t="shared" si="111"/>
        <v/>
      </c>
      <c r="AG497" s="609" t="str">
        <f t="shared" si="111"/>
        <v/>
      </c>
      <c r="AH497" s="609" t="str">
        <f t="shared" si="111"/>
        <v/>
      </c>
      <c r="AI497" s="609" t="str">
        <f t="shared" si="111"/>
        <v/>
      </c>
      <c r="AJ497" s="609" t="str">
        <f t="shared" si="111"/>
        <v/>
      </c>
      <c r="AK497" s="609" t="str">
        <f t="shared" si="111"/>
        <v/>
      </c>
      <c r="AL497" s="609" t="str">
        <f t="shared" si="111"/>
        <v/>
      </c>
      <c r="AM497" s="609" t="str">
        <f t="shared" si="114"/>
        <v/>
      </c>
      <c r="AN497" s="609" t="str">
        <f t="shared" si="114"/>
        <v/>
      </c>
      <c r="AO497" s="609" t="str">
        <f t="shared" si="114"/>
        <v/>
      </c>
      <c r="AP497" s="609" t="str">
        <f t="shared" si="114"/>
        <v/>
      </c>
      <c r="AQ497" s="609" t="str">
        <f t="shared" si="114"/>
        <v/>
      </c>
      <c r="AR497" s="609" t="str">
        <f t="shared" si="114"/>
        <v/>
      </c>
      <c r="AS497" s="609" t="str">
        <f t="shared" si="114"/>
        <v/>
      </c>
      <c r="AT497" s="609" t="str">
        <f t="shared" si="114"/>
        <v/>
      </c>
      <c r="AU497" s="609" t="str">
        <f t="shared" si="114"/>
        <v/>
      </c>
      <c r="AV497" s="609" t="str">
        <f t="shared" si="114"/>
        <v/>
      </c>
      <c r="AW497" s="609" t="str">
        <f t="shared" si="114"/>
        <v/>
      </c>
      <c r="AX497" s="609" t="str">
        <f t="shared" si="114"/>
        <v/>
      </c>
      <c r="AY497" s="609" t="str">
        <f t="shared" si="114"/>
        <v/>
      </c>
      <c r="AZ497" s="609" t="str">
        <f t="shared" si="114"/>
        <v/>
      </c>
      <c r="BA497" s="609" t="str">
        <f t="shared" si="114"/>
        <v/>
      </c>
      <c r="BB497" s="609" t="str">
        <f t="shared" si="114"/>
        <v/>
      </c>
      <c r="BC497" s="609" t="str">
        <f t="shared" si="113"/>
        <v/>
      </c>
      <c r="BD497" s="609" t="str">
        <f t="shared" si="113"/>
        <v/>
      </c>
      <c r="BE497" s="609" t="str">
        <f t="shared" si="113"/>
        <v/>
      </c>
      <c r="BF497" s="609" t="str">
        <f t="shared" si="113"/>
        <v/>
      </c>
      <c r="BG497" s="609" t="str">
        <f t="shared" si="113"/>
        <v/>
      </c>
    </row>
    <row r="498" spans="2:59" x14ac:dyDescent="0.25">
      <c r="B498" s="654">
        <v>492</v>
      </c>
      <c r="C498" s="654"/>
      <c r="D498" s="654"/>
      <c r="E498" s="655"/>
      <c r="F498" s="654"/>
      <c r="H498" s="609" t="str">
        <f t="shared" si="112"/>
        <v/>
      </c>
      <c r="I498" s="609" t="str">
        <f t="shared" si="112"/>
        <v/>
      </c>
      <c r="J498" s="609" t="str">
        <f t="shared" si="112"/>
        <v/>
      </c>
      <c r="K498" s="609" t="str">
        <f t="shared" si="112"/>
        <v/>
      </c>
      <c r="L498" s="609" t="str">
        <f t="shared" si="112"/>
        <v/>
      </c>
      <c r="M498" s="609" t="str">
        <f t="shared" si="112"/>
        <v/>
      </c>
      <c r="N498" s="609" t="str">
        <f t="shared" si="112"/>
        <v/>
      </c>
      <c r="O498" s="609" t="str">
        <f t="shared" si="112"/>
        <v/>
      </c>
      <c r="P498" s="609" t="str">
        <f t="shared" si="112"/>
        <v/>
      </c>
      <c r="Q498" s="609" t="str">
        <f t="shared" si="112"/>
        <v/>
      </c>
      <c r="R498" s="609" t="str">
        <f t="shared" si="112"/>
        <v/>
      </c>
      <c r="S498" s="609" t="str">
        <f t="shared" si="112"/>
        <v/>
      </c>
      <c r="T498" s="609" t="str">
        <f t="shared" si="112"/>
        <v/>
      </c>
      <c r="U498" s="609" t="str">
        <f t="shared" si="112"/>
        <v/>
      </c>
      <c r="V498" s="609" t="str">
        <f t="shared" si="112"/>
        <v/>
      </c>
      <c r="W498" s="609" t="str">
        <f t="shared" si="112"/>
        <v/>
      </c>
      <c r="X498" s="609" t="str">
        <f t="shared" si="111"/>
        <v/>
      </c>
      <c r="Y498" s="609" t="str">
        <f t="shared" si="111"/>
        <v/>
      </c>
      <c r="Z498" s="609" t="str">
        <f t="shared" si="111"/>
        <v/>
      </c>
      <c r="AA498" s="609" t="str">
        <f t="shared" si="111"/>
        <v/>
      </c>
      <c r="AB498" s="609" t="str">
        <f t="shared" si="111"/>
        <v/>
      </c>
      <c r="AC498" s="609" t="str">
        <f t="shared" si="111"/>
        <v/>
      </c>
      <c r="AD498" s="609" t="str">
        <f t="shared" si="111"/>
        <v/>
      </c>
      <c r="AE498" s="609" t="str">
        <f t="shared" si="111"/>
        <v/>
      </c>
      <c r="AF498" s="609" t="str">
        <f t="shared" si="111"/>
        <v/>
      </c>
      <c r="AG498" s="609" t="str">
        <f t="shared" si="111"/>
        <v/>
      </c>
      <c r="AH498" s="609" t="str">
        <f t="shared" si="111"/>
        <v/>
      </c>
      <c r="AI498" s="609" t="str">
        <f t="shared" si="111"/>
        <v/>
      </c>
      <c r="AJ498" s="609" t="str">
        <f t="shared" si="111"/>
        <v/>
      </c>
      <c r="AK498" s="609" t="str">
        <f t="shared" si="111"/>
        <v/>
      </c>
      <c r="AL498" s="609" t="str">
        <f t="shared" si="111"/>
        <v/>
      </c>
      <c r="AM498" s="609" t="str">
        <f t="shared" si="114"/>
        <v/>
      </c>
      <c r="AN498" s="609" t="str">
        <f t="shared" si="114"/>
        <v/>
      </c>
      <c r="AO498" s="609" t="str">
        <f t="shared" si="114"/>
        <v/>
      </c>
      <c r="AP498" s="609" t="str">
        <f t="shared" si="114"/>
        <v/>
      </c>
      <c r="AQ498" s="609" t="str">
        <f t="shared" si="114"/>
        <v/>
      </c>
      <c r="AR498" s="609" t="str">
        <f t="shared" si="114"/>
        <v/>
      </c>
      <c r="AS498" s="609" t="str">
        <f t="shared" si="114"/>
        <v/>
      </c>
      <c r="AT498" s="609" t="str">
        <f t="shared" si="114"/>
        <v/>
      </c>
      <c r="AU498" s="609" t="str">
        <f t="shared" si="114"/>
        <v/>
      </c>
      <c r="AV498" s="609" t="str">
        <f t="shared" si="114"/>
        <v/>
      </c>
      <c r="AW498" s="609" t="str">
        <f t="shared" si="114"/>
        <v/>
      </c>
      <c r="AX498" s="609" t="str">
        <f t="shared" si="114"/>
        <v/>
      </c>
      <c r="AY498" s="609" t="str">
        <f t="shared" si="114"/>
        <v/>
      </c>
      <c r="AZ498" s="609" t="str">
        <f t="shared" si="114"/>
        <v/>
      </c>
      <c r="BA498" s="609" t="str">
        <f t="shared" si="114"/>
        <v/>
      </c>
      <c r="BB498" s="609" t="str">
        <f t="shared" si="114"/>
        <v/>
      </c>
      <c r="BC498" s="609" t="str">
        <f t="shared" si="113"/>
        <v/>
      </c>
      <c r="BD498" s="609" t="str">
        <f t="shared" si="113"/>
        <v/>
      </c>
      <c r="BE498" s="609" t="str">
        <f t="shared" si="113"/>
        <v/>
      </c>
      <c r="BF498" s="609" t="str">
        <f t="shared" si="113"/>
        <v/>
      </c>
      <c r="BG498" s="609" t="str">
        <f t="shared" si="113"/>
        <v/>
      </c>
    </row>
    <row r="499" spans="2:59" x14ac:dyDescent="0.25">
      <c r="B499" s="654">
        <v>493</v>
      </c>
      <c r="C499" s="654"/>
      <c r="D499" s="654"/>
      <c r="E499" s="655"/>
      <c r="F499" s="654"/>
      <c r="H499" s="609" t="str">
        <f t="shared" si="112"/>
        <v/>
      </c>
      <c r="I499" s="609" t="str">
        <f t="shared" si="112"/>
        <v/>
      </c>
      <c r="J499" s="609" t="str">
        <f t="shared" si="112"/>
        <v/>
      </c>
      <c r="K499" s="609" t="str">
        <f t="shared" si="112"/>
        <v/>
      </c>
      <c r="L499" s="609" t="str">
        <f t="shared" si="112"/>
        <v/>
      </c>
      <c r="M499" s="609" t="str">
        <f t="shared" si="112"/>
        <v/>
      </c>
      <c r="N499" s="609" t="str">
        <f t="shared" si="112"/>
        <v/>
      </c>
      <c r="O499" s="609" t="str">
        <f t="shared" si="112"/>
        <v/>
      </c>
      <c r="P499" s="609" t="str">
        <f t="shared" si="112"/>
        <v/>
      </c>
      <c r="Q499" s="609" t="str">
        <f t="shared" si="112"/>
        <v/>
      </c>
      <c r="R499" s="609" t="str">
        <f t="shared" si="112"/>
        <v/>
      </c>
      <c r="S499" s="609" t="str">
        <f t="shared" si="112"/>
        <v/>
      </c>
      <c r="T499" s="609" t="str">
        <f t="shared" si="112"/>
        <v/>
      </c>
      <c r="U499" s="609" t="str">
        <f t="shared" si="112"/>
        <v/>
      </c>
      <c r="V499" s="609" t="str">
        <f t="shared" si="112"/>
        <v/>
      </c>
      <c r="W499" s="609" t="str">
        <f t="shared" si="112"/>
        <v/>
      </c>
      <c r="X499" s="609" t="str">
        <f t="shared" si="111"/>
        <v/>
      </c>
      <c r="Y499" s="609" t="str">
        <f t="shared" si="111"/>
        <v/>
      </c>
      <c r="Z499" s="609" t="str">
        <f t="shared" si="111"/>
        <v/>
      </c>
      <c r="AA499" s="609" t="str">
        <f t="shared" si="111"/>
        <v/>
      </c>
      <c r="AB499" s="609" t="str">
        <f t="shared" si="111"/>
        <v/>
      </c>
      <c r="AC499" s="609" t="str">
        <f t="shared" si="111"/>
        <v/>
      </c>
      <c r="AD499" s="609" t="str">
        <f t="shared" si="111"/>
        <v/>
      </c>
      <c r="AE499" s="609" t="str">
        <f t="shared" si="111"/>
        <v/>
      </c>
      <c r="AF499" s="609" t="str">
        <f t="shared" si="111"/>
        <v/>
      </c>
      <c r="AG499" s="609" t="str">
        <f t="shared" si="111"/>
        <v/>
      </c>
      <c r="AH499" s="609" t="str">
        <f t="shared" si="111"/>
        <v/>
      </c>
      <c r="AI499" s="609" t="str">
        <f t="shared" si="111"/>
        <v/>
      </c>
      <c r="AJ499" s="609" t="str">
        <f t="shared" si="111"/>
        <v/>
      </c>
      <c r="AK499" s="609" t="str">
        <f t="shared" si="111"/>
        <v/>
      </c>
      <c r="AL499" s="609" t="str">
        <f t="shared" si="111"/>
        <v/>
      </c>
      <c r="AM499" s="609" t="str">
        <f t="shared" si="114"/>
        <v/>
      </c>
      <c r="AN499" s="609" t="str">
        <f t="shared" si="114"/>
        <v/>
      </c>
      <c r="AO499" s="609" t="str">
        <f t="shared" si="114"/>
        <v/>
      </c>
      <c r="AP499" s="609" t="str">
        <f t="shared" si="114"/>
        <v/>
      </c>
      <c r="AQ499" s="609" t="str">
        <f t="shared" si="114"/>
        <v/>
      </c>
      <c r="AR499" s="609" t="str">
        <f t="shared" si="114"/>
        <v/>
      </c>
      <c r="AS499" s="609" t="str">
        <f t="shared" si="114"/>
        <v/>
      </c>
      <c r="AT499" s="609" t="str">
        <f t="shared" si="114"/>
        <v/>
      </c>
      <c r="AU499" s="609" t="str">
        <f t="shared" si="114"/>
        <v/>
      </c>
      <c r="AV499" s="609" t="str">
        <f t="shared" si="114"/>
        <v/>
      </c>
      <c r="AW499" s="609" t="str">
        <f t="shared" si="114"/>
        <v/>
      </c>
      <c r="AX499" s="609" t="str">
        <f t="shared" si="114"/>
        <v/>
      </c>
      <c r="AY499" s="609" t="str">
        <f t="shared" si="114"/>
        <v/>
      </c>
      <c r="AZ499" s="609" t="str">
        <f t="shared" si="114"/>
        <v/>
      </c>
      <c r="BA499" s="609" t="str">
        <f t="shared" si="114"/>
        <v/>
      </c>
      <c r="BB499" s="609" t="str">
        <f t="shared" si="114"/>
        <v/>
      </c>
      <c r="BC499" s="609" t="str">
        <f t="shared" si="113"/>
        <v/>
      </c>
      <c r="BD499" s="609" t="str">
        <f t="shared" si="113"/>
        <v/>
      </c>
      <c r="BE499" s="609" t="str">
        <f t="shared" si="113"/>
        <v/>
      </c>
      <c r="BF499" s="609" t="str">
        <f t="shared" si="113"/>
        <v/>
      </c>
      <c r="BG499" s="609" t="str">
        <f t="shared" si="113"/>
        <v/>
      </c>
    </row>
    <row r="500" spans="2:59" x14ac:dyDescent="0.25">
      <c r="B500" s="654">
        <v>494</v>
      </c>
      <c r="C500" s="654"/>
      <c r="D500" s="654"/>
      <c r="E500" s="655"/>
      <c r="F500" s="654"/>
      <c r="H500" s="609" t="str">
        <f t="shared" si="112"/>
        <v/>
      </c>
      <c r="I500" s="609" t="str">
        <f t="shared" si="112"/>
        <v/>
      </c>
      <c r="J500" s="609" t="str">
        <f t="shared" si="112"/>
        <v/>
      </c>
      <c r="K500" s="609" t="str">
        <f t="shared" si="112"/>
        <v/>
      </c>
      <c r="L500" s="609" t="str">
        <f t="shared" si="112"/>
        <v/>
      </c>
      <c r="M500" s="609" t="str">
        <f t="shared" si="112"/>
        <v/>
      </c>
      <c r="N500" s="609" t="str">
        <f t="shared" si="112"/>
        <v/>
      </c>
      <c r="O500" s="609" t="str">
        <f t="shared" si="112"/>
        <v/>
      </c>
      <c r="P500" s="609" t="str">
        <f t="shared" si="112"/>
        <v/>
      </c>
      <c r="Q500" s="609" t="str">
        <f t="shared" si="112"/>
        <v/>
      </c>
      <c r="R500" s="609" t="str">
        <f t="shared" si="112"/>
        <v/>
      </c>
      <c r="S500" s="609" t="str">
        <f t="shared" si="112"/>
        <v/>
      </c>
      <c r="T500" s="609" t="str">
        <f t="shared" si="112"/>
        <v/>
      </c>
      <c r="U500" s="609" t="str">
        <f t="shared" si="112"/>
        <v/>
      </c>
      <c r="V500" s="609" t="str">
        <f t="shared" si="112"/>
        <v/>
      </c>
      <c r="W500" s="609" t="str">
        <f t="shared" si="112"/>
        <v/>
      </c>
      <c r="X500" s="609" t="str">
        <f t="shared" si="111"/>
        <v/>
      </c>
      <c r="Y500" s="609" t="str">
        <f t="shared" si="111"/>
        <v/>
      </c>
      <c r="Z500" s="609" t="str">
        <f t="shared" si="111"/>
        <v/>
      </c>
      <c r="AA500" s="609" t="str">
        <f t="shared" si="111"/>
        <v/>
      </c>
      <c r="AB500" s="609" t="str">
        <f t="shared" si="111"/>
        <v/>
      </c>
      <c r="AC500" s="609" t="str">
        <f t="shared" si="111"/>
        <v/>
      </c>
      <c r="AD500" s="609" t="str">
        <f t="shared" si="111"/>
        <v/>
      </c>
      <c r="AE500" s="609" t="str">
        <f t="shared" si="111"/>
        <v/>
      </c>
      <c r="AF500" s="609" t="str">
        <f t="shared" si="111"/>
        <v/>
      </c>
      <c r="AG500" s="609" t="str">
        <f t="shared" si="111"/>
        <v/>
      </c>
      <c r="AH500" s="609" t="str">
        <f t="shared" si="111"/>
        <v/>
      </c>
      <c r="AI500" s="609" t="str">
        <f t="shared" si="111"/>
        <v/>
      </c>
      <c r="AJ500" s="609" t="str">
        <f t="shared" si="111"/>
        <v/>
      </c>
      <c r="AK500" s="609" t="str">
        <f t="shared" si="111"/>
        <v/>
      </c>
      <c r="AL500" s="609" t="str">
        <f t="shared" si="111"/>
        <v/>
      </c>
      <c r="AM500" s="609" t="str">
        <f t="shared" si="114"/>
        <v/>
      </c>
      <c r="AN500" s="609" t="str">
        <f t="shared" si="114"/>
        <v/>
      </c>
      <c r="AO500" s="609" t="str">
        <f t="shared" si="114"/>
        <v/>
      </c>
      <c r="AP500" s="609" t="str">
        <f t="shared" si="114"/>
        <v/>
      </c>
      <c r="AQ500" s="609" t="str">
        <f t="shared" si="114"/>
        <v/>
      </c>
      <c r="AR500" s="609" t="str">
        <f t="shared" si="114"/>
        <v/>
      </c>
      <c r="AS500" s="609" t="str">
        <f t="shared" si="114"/>
        <v/>
      </c>
      <c r="AT500" s="609" t="str">
        <f t="shared" si="114"/>
        <v/>
      </c>
      <c r="AU500" s="609" t="str">
        <f t="shared" si="114"/>
        <v/>
      </c>
      <c r="AV500" s="609" t="str">
        <f t="shared" si="114"/>
        <v/>
      </c>
      <c r="AW500" s="609" t="str">
        <f t="shared" si="114"/>
        <v/>
      </c>
      <c r="AX500" s="609" t="str">
        <f t="shared" si="114"/>
        <v/>
      </c>
      <c r="AY500" s="609" t="str">
        <f t="shared" si="114"/>
        <v/>
      </c>
      <c r="AZ500" s="609" t="str">
        <f t="shared" si="114"/>
        <v/>
      </c>
      <c r="BA500" s="609" t="str">
        <f t="shared" si="114"/>
        <v/>
      </c>
      <c r="BB500" s="609" t="str">
        <f t="shared" si="114"/>
        <v/>
      </c>
      <c r="BC500" s="609" t="str">
        <f t="shared" si="113"/>
        <v/>
      </c>
      <c r="BD500" s="609" t="str">
        <f t="shared" si="113"/>
        <v/>
      </c>
      <c r="BE500" s="609" t="str">
        <f t="shared" si="113"/>
        <v/>
      </c>
      <c r="BF500" s="609" t="str">
        <f t="shared" si="113"/>
        <v/>
      </c>
      <c r="BG500" s="609" t="str">
        <f t="shared" si="113"/>
        <v/>
      </c>
    </row>
    <row r="501" spans="2:59" x14ac:dyDescent="0.25">
      <c r="B501" s="654">
        <v>495</v>
      </c>
      <c r="C501" s="654"/>
      <c r="D501" s="654"/>
      <c r="E501" s="655"/>
      <c r="F501" s="654"/>
      <c r="H501" s="609" t="str">
        <f t="shared" si="112"/>
        <v/>
      </c>
      <c r="I501" s="609" t="str">
        <f t="shared" si="112"/>
        <v/>
      </c>
      <c r="J501" s="609" t="str">
        <f t="shared" si="112"/>
        <v/>
      </c>
      <c r="K501" s="609" t="str">
        <f t="shared" si="112"/>
        <v/>
      </c>
      <c r="L501" s="609" t="str">
        <f t="shared" si="112"/>
        <v/>
      </c>
      <c r="M501" s="609" t="str">
        <f t="shared" si="112"/>
        <v/>
      </c>
      <c r="N501" s="609" t="str">
        <f t="shared" si="112"/>
        <v/>
      </c>
      <c r="O501" s="609" t="str">
        <f t="shared" si="112"/>
        <v/>
      </c>
      <c r="P501" s="609" t="str">
        <f t="shared" si="112"/>
        <v/>
      </c>
      <c r="Q501" s="609" t="str">
        <f t="shared" si="112"/>
        <v/>
      </c>
      <c r="R501" s="609" t="str">
        <f t="shared" si="112"/>
        <v/>
      </c>
      <c r="S501" s="609" t="str">
        <f t="shared" si="112"/>
        <v/>
      </c>
      <c r="T501" s="609" t="str">
        <f t="shared" si="112"/>
        <v/>
      </c>
      <c r="U501" s="609" t="str">
        <f t="shared" si="112"/>
        <v/>
      </c>
      <c r="V501" s="609" t="str">
        <f t="shared" si="112"/>
        <v/>
      </c>
      <c r="W501" s="609" t="str">
        <f t="shared" ref="W501:AL506" si="115">IF($D501=W$6,$B501&amp;", ","")</f>
        <v/>
      </c>
      <c r="X501" s="609" t="str">
        <f t="shared" si="115"/>
        <v/>
      </c>
      <c r="Y501" s="609" t="str">
        <f t="shared" si="115"/>
        <v/>
      </c>
      <c r="Z501" s="609" t="str">
        <f t="shared" si="115"/>
        <v/>
      </c>
      <c r="AA501" s="609" t="str">
        <f t="shared" si="115"/>
        <v/>
      </c>
      <c r="AB501" s="609" t="str">
        <f t="shared" si="115"/>
        <v/>
      </c>
      <c r="AC501" s="609" t="str">
        <f t="shared" si="115"/>
        <v/>
      </c>
      <c r="AD501" s="609" t="str">
        <f t="shared" si="115"/>
        <v/>
      </c>
      <c r="AE501" s="609" t="str">
        <f t="shared" si="115"/>
        <v/>
      </c>
      <c r="AF501" s="609" t="str">
        <f t="shared" si="115"/>
        <v/>
      </c>
      <c r="AG501" s="609" t="str">
        <f t="shared" si="115"/>
        <v/>
      </c>
      <c r="AH501" s="609" t="str">
        <f t="shared" si="115"/>
        <v/>
      </c>
      <c r="AI501" s="609" t="str">
        <f t="shared" si="115"/>
        <v/>
      </c>
      <c r="AJ501" s="609" t="str">
        <f t="shared" si="115"/>
        <v/>
      </c>
      <c r="AK501" s="609" t="str">
        <f t="shared" si="115"/>
        <v/>
      </c>
      <c r="AL501" s="609" t="str">
        <f t="shared" si="115"/>
        <v/>
      </c>
      <c r="AM501" s="609" t="str">
        <f t="shared" si="114"/>
        <v/>
      </c>
      <c r="AN501" s="609" t="str">
        <f t="shared" si="114"/>
        <v/>
      </c>
      <c r="AO501" s="609" t="str">
        <f t="shared" si="114"/>
        <v/>
      </c>
      <c r="AP501" s="609" t="str">
        <f t="shared" si="114"/>
        <v/>
      </c>
      <c r="AQ501" s="609" t="str">
        <f t="shared" si="114"/>
        <v/>
      </c>
      <c r="AR501" s="609" t="str">
        <f t="shared" si="114"/>
        <v/>
      </c>
      <c r="AS501" s="609" t="str">
        <f t="shared" si="114"/>
        <v/>
      </c>
      <c r="AT501" s="609" t="str">
        <f t="shared" si="114"/>
        <v/>
      </c>
      <c r="AU501" s="609" t="str">
        <f t="shared" si="114"/>
        <v/>
      </c>
      <c r="AV501" s="609" t="str">
        <f t="shared" si="114"/>
        <v/>
      </c>
      <c r="AW501" s="609" t="str">
        <f t="shared" si="114"/>
        <v/>
      </c>
      <c r="AX501" s="609" t="str">
        <f t="shared" si="114"/>
        <v/>
      </c>
      <c r="AY501" s="609" t="str">
        <f t="shared" si="114"/>
        <v/>
      </c>
      <c r="AZ501" s="609" t="str">
        <f t="shared" si="114"/>
        <v/>
      </c>
      <c r="BA501" s="609" t="str">
        <f t="shared" si="114"/>
        <v/>
      </c>
      <c r="BB501" s="609" t="str">
        <f t="shared" si="114"/>
        <v/>
      </c>
      <c r="BC501" s="609" t="str">
        <f t="shared" si="113"/>
        <v/>
      </c>
      <c r="BD501" s="609" t="str">
        <f t="shared" si="113"/>
        <v/>
      </c>
      <c r="BE501" s="609" t="str">
        <f t="shared" si="113"/>
        <v/>
      </c>
      <c r="BF501" s="609" t="str">
        <f t="shared" si="113"/>
        <v/>
      </c>
      <c r="BG501" s="609" t="str">
        <f t="shared" si="113"/>
        <v/>
      </c>
    </row>
    <row r="502" spans="2:59" x14ac:dyDescent="0.25">
      <c r="B502" s="654">
        <v>496</v>
      </c>
      <c r="C502" s="654"/>
      <c r="D502" s="654"/>
      <c r="E502" s="655"/>
      <c r="F502" s="654"/>
      <c r="H502" s="609" t="str">
        <f t="shared" ref="H502:W506" si="116">IF($D502=H$6,$B502&amp;", ","")</f>
        <v/>
      </c>
      <c r="I502" s="609" t="str">
        <f t="shared" si="116"/>
        <v/>
      </c>
      <c r="J502" s="609" t="str">
        <f t="shared" si="116"/>
        <v/>
      </c>
      <c r="K502" s="609" t="str">
        <f t="shared" si="116"/>
        <v/>
      </c>
      <c r="L502" s="609" t="str">
        <f t="shared" si="116"/>
        <v/>
      </c>
      <c r="M502" s="609" t="str">
        <f t="shared" si="116"/>
        <v/>
      </c>
      <c r="N502" s="609" t="str">
        <f t="shared" si="116"/>
        <v/>
      </c>
      <c r="O502" s="609" t="str">
        <f t="shared" si="116"/>
        <v/>
      </c>
      <c r="P502" s="609" t="str">
        <f t="shared" si="116"/>
        <v/>
      </c>
      <c r="Q502" s="609" t="str">
        <f t="shared" si="116"/>
        <v/>
      </c>
      <c r="R502" s="609" t="str">
        <f t="shared" si="116"/>
        <v/>
      </c>
      <c r="S502" s="609" t="str">
        <f t="shared" si="116"/>
        <v/>
      </c>
      <c r="T502" s="609" t="str">
        <f t="shared" si="116"/>
        <v/>
      </c>
      <c r="U502" s="609" t="str">
        <f t="shared" si="116"/>
        <v/>
      </c>
      <c r="V502" s="609" t="str">
        <f t="shared" si="116"/>
        <v/>
      </c>
      <c r="W502" s="609" t="str">
        <f t="shared" si="116"/>
        <v/>
      </c>
      <c r="X502" s="609" t="str">
        <f t="shared" si="115"/>
        <v/>
      </c>
      <c r="Y502" s="609" t="str">
        <f t="shared" si="115"/>
        <v/>
      </c>
      <c r="Z502" s="609" t="str">
        <f t="shared" si="115"/>
        <v/>
      </c>
      <c r="AA502" s="609" t="str">
        <f t="shared" si="115"/>
        <v/>
      </c>
      <c r="AB502" s="609" t="str">
        <f t="shared" si="115"/>
        <v/>
      </c>
      <c r="AC502" s="609" t="str">
        <f t="shared" si="115"/>
        <v/>
      </c>
      <c r="AD502" s="609" t="str">
        <f t="shared" si="115"/>
        <v/>
      </c>
      <c r="AE502" s="609" t="str">
        <f t="shared" si="115"/>
        <v/>
      </c>
      <c r="AF502" s="609" t="str">
        <f t="shared" si="115"/>
        <v/>
      </c>
      <c r="AG502" s="609" t="str">
        <f t="shared" si="115"/>
        <v/>
      </c>
      <c r="AH502" s="609" t="str">
        <f t="shared" si="115"/>
        <v/>
      </c>
      <c r="AI502" s="609" t="str">
        <f t="shared" si="115"/>
        <v/>
      </c>
      <c r="AJ502" s="609" t="str">
        <f t="shared" si="115"/>
        <v/>
      </c>
      <c r="AK502" s="609" t="str">
        <f t="shared" si="115"/>
        <v/>
      </c>
      <c r="AL502" s="609" t="str">
        <f t="shared" si="115"/>
        <v/>
      </c>
      <c r="AM502" s="609" t="str">
        <f t="shared" si="114"/>
        <v/>
      </c>
      <c r="AN502" s="609" t="str">
        <f t="shared" si="114"/>
        <v/>
      </c>
      <c r="AO502" s="609" t="str">
        <f t="shared" si="114"/>
        <v/>
      </c>
      <c r="AP502" s="609" t="str">
        <f t="shared" si="114"/>
        <v/>
      </c>
      <c r="AQ502" s="609" t="str">
        <f t="shared" si="114"/>
        <v/>
      </c>
      <c r="AR502" s="609" t="str">
        <f t="shared" si="114"/>
        <v/>
      </c>
      <c r="AS502" s="609" t="str">
        <f t="shared" si="114"/>
        <v/>
      </c>
      <c r="AT502" s="609" t="str">
        <f t="shared" si="114"/>
        <v/>
      </c>
      <c r="AU502" s="609" t="str">
        <f t="shared" si="114"/>
        <v/>
      </c>
      <c r="AV502" s="609" t="str">
        <f t="shared" si="114"/>
        <v/>
      </c>
      <c r="AW502" s="609" t="str">
        <f t="shared" si="114"/>
        <v/>
      </c>
      <c r="AX502" s="609" t="str">
        <f t="shared" si="114"/>
        <v/>
      </c>
      <c r="AY502" s="609" t="str">
        <f t="shared" si="114"/>
        <v/>
      </c>
      <c r="AZ502" s="609" t="str">
        <f t="shared" si="114"/>
        <v/>
      </c>
      <c r="BA502" s="609" t="str">
        <f t="shared" si="114"/>
        <v/>
      </c>
      <c r="BB502" s="609" t="str">
        <f t="shared" si="114"/>
        <v/>
      </c>
      <c r="BC502" s="609" t="str">
        <f t="shared" si="113"/>
        <v/>
      </c>
      <c r="BD502" s="609" t="str">
        <f t="shared" si="113"/>
        <v/>
      </c>
      <c r="BE502" s="609" t="str">
        <f t="shared" si="113"/>
        <v/>
      </c>
      <c r="BF502" s="609" t="str">
        <f t="shared" si="113"/>
        <v/>
      </c>
      <c r="BG502" s="609" t="str">
        <f t="shared" si="113"/>
        <v/>
      </c>
    </row>
    <row r="503" spans="2:59" x14ac:dyDescent="0.25">
      <c r="B503" s="654">
        <v>497</v>
      </c>
      <c r="C503" s="654"/>
      <c r="D503" s="654"/>
      <c r="E503" s="655"/>
      <c r="F503" s="654"/>
      <c r="H503" s="609" t="str">
        <f t="shared" si="116"/>
        <v/>
      </c>
      <c r="I503" s="609" t="str">
        <f t="shared" si="116"/>
        <v/>
      </c>
      <c r="J503" s="609" t="str">
        <f t="shared" si="116"/>
        <v/>
      </c>
      <c r="K503" s="609" t="str">
        <f t="shared" si="116"/>
        <v/>
      </c>
      <c r="L503" s="609" t="str">
        <f t="shared" si="116"/>
        <v/>
      </c>
      <c r="M503" s="609" t="str">
        <f t="shared" si="116"/>
        <v/>
      </c>
      <c r="N503" s="609" t="str">
        <f t="shared" si="116"/>
        <v/>
      </c>
      <c r="O503" s="609" t="str">
        <f t="shared" si="116"/>
        <v/>
      </c>
      <c r="P503" s="609" t="str">
        <f t="shared" si="116"/>
        <v/>
      </c>
      <c r="Q503" s="609" t="str">
        <f t="shared" si="116"/>
        <v/>
      </c>
      <c r="R503" s="609" t="str">
        <f t="shared" si="116"/>
        <v/>
      </c>
      <c r="S503" s="609" t="str">
        <f t="shared" si="116"/>
        <v/>
      </c>
      <c r="T503" s="609" t="str">
        <f t="shared" si="116"/>
        <v/>
      </c>
      <c r="U503" s="609" t="str">
        <f t="shared" si="116"/>
        <v/>
      </c>
      <c r="V503" s="609" t="str">
        <f t="shared" si="116"/>
        <v/>
      </c>
      <c r="W503" s="609" t="str">
        <f t="shared" si="116"/>
        <v/>
      </c>
      <c r="X503" s="609" t="str">
        <f t="shared" si="115"/>
        <v/>
      </c>
      <c r="Y503" s="609" t="str">
        <f t="shared" si="115"/>
        <v/>
      </c>
      <c r="Z503" s="609" t="str">
        <f t="shared" si="115"/>
        <v/>
      </c>
      <c r="AA503" s="609" t="str">
        <f t="shared" si="115"/>
        <v/>
      </c>
      <c r="AB503" s="609" t="str">
        <f t="shared" si="115"/>
        <v/>
      </c>
      <c r="AC503" s="609" t="str">
        <f t="shared" si="115"/>
        <v/>
      </c>
      <c r="AD503" s="609" t="str">
        <f t="shared" si="115"/>
        <v/>
      </c>
      <c r="AE503" s="609" t="str">
        <f t="shared" si="115"/>
        <v/>
      </c>
      <c r="AF503" s="609" t="str">
        <f t="shared" si="115"/>
        <v/>
      </c>
      <c r="AG503" s="609" t="str">
        <f t="shared" si="115"/>
        <v/>
      </c>
      <c r="AH503" s="609" t="str">
        <f t="shared" si="115"/>
        <v/>
      </c>
      <c r="AI503" s="609" t="str">
        <f t="shared" si="115"/>
        <v/>
      </c>
      <c r="AJ503" s="609" t="str">
        <f t="shared" si="115"/>
        <v/>
      </c>
      <c r="AK503" s="609" t="str">
        <f t="shared" si="115"/>
        <v/>
      </c>
      <c r="AL503" s="609" t="str">
        <f t="shared" si="115"/>
        <v/>
      </c>
      <c r="AM503" s="609" t="str">
        <f t="shared" si="114"/>
        <v/>
      </c>
      <c r="AN503" s="609" t="str">
        <f t="shared" si="114"/>
        <v/>
      </c>
      <c r="AO503" s="609" t="str">
        <f t="shared" si="114"/>
        <v/>
      </c>
      <c r="AP503" s="609" t="str">
        <f t="shared" si="114"/>
        <v/>
      </c>
      <c r="AQ503" s="609" t="str">
        <f t="shared" si="114"/>
        <v/>
      </c>
      <c r="AR503" s="609" t="str">
        <f t="shared" si="114"/>
        <v/>
      </c>
      <c r="AS503" s="609" t="str">
        <f t="shared" si="114"/>
        <v/>
      </c>
      <c r="AT503" s="609" t="str">
        <f t="shared" si="114"/>
        <v/>
      </c>
      <c r="AU503" s="609" t="str">
        <f t="shared" si="114"/>
        <v/>
      </c>
      <c r="AV503" s="609" t="str">
        <f t="shared" si="114"/>
        <v/>
      </c>
      <c r="AW503" s="609" t="str">
        <f t="shared" si="114"/>
        <v/>
      </c>
      <c r="AX503" s="609" t="str">
        <f t="shared" si="114"/>
        <v/>
      </c>
      <c r="AY503" s="609" t="str">
        <f t="shared" si="114"/>
        <v/>
      </c>
      <c r="AZ503" s="609" t="str">
        <f t="shared" si="114"/>
        <v/>
      </c>
      <c r="BA503" s="609" t="str">
        <f t="shared" si="114"/>
        <v/>
      </c>
      <c r="BB503" s="609" t="str">
        <f t="shared" si="114"/>
        <v/>
      </c>
      <c r="BC503" s="609" t="str">
        <f t="shared" si="113"/>
        <v/>
      </c>
      <c r="BD503" s="609" t="str">
        <f t="shared" si="113"/>
        <v/>
      </c>
      <c r="BE503" s="609" t="str">
        <f t="shared" si="113"/>
        <v/>
      </c>
      <c r="BF503" s="609" t="str">
        <f t="shared" si="113"/>
        <v/>
      </c>
      <c r="BG503" s="609" t="str">
        <f t="shared" si="113"/>
        <v/>
      </c>
    </row>
    <row r="504" spans="2:59" x14ac:dyDescent="0.25">
      <c r="B504" s="654">
        <v>498</v>
      </c>
      <c r="C504" s="654"/>
      <c r="D504" s="654"/>
      <c r="E504" s="655"/>
      <c r="F504" s="654"/>
      <c r="H504" s="609" t="str">
        <f t="shared" si="116"/>
        <v/>
      </c>
      <c r="I504" s="609" t="str">
        <f t="shared" si="116"/>
        <v/>
      </c>
      <c r="J504" s="609" t="str">
        <f t="shared" si="116"/>
        <v/>
      </c>
      <c r="K504" s="609" t="str">
        <f t="shared" si="116"/>
        <v/>
      </c>
      <c r="L504" s="609" t="str">
        <f t="shared" si="116"/>
        <v/>
      </c>
      <c r="M504" s="609" t="str">
        <f t="shared" si="116"/>
        <v/>
      </c>
      <c r="N504" s="609" t="str">
        <f t="shared" si="116"/>
        <v/>
      </c>
      <c r="O504" s="609" t="str">
        <f t="shared" si="116"/>
        <v/>
      </c>
      <c r="P504" s="609" t="str">
        <f t="shared" si="116"/>
        <v/>
      </c>
      <c r="Q504" s="609" t="str">
        <f t="shared" si="116"/>
        <v/>
      </c>
      <c r="R504" s="609" t="str">
        <f t="shared" si="116"/>
        <v/>
      </c>
      <c r="S504" s="609" t="str">
        <f t="shared" si="116"/>
        <v/>
      </c>
      <c r="T504" s="609" t="str">
        <f t="shared" si="116"/>
        <v/>
      </c>
      <c r="U504" s="609" t="str">
        <f t="shared" si="116"/>
        <v/>
      </c>
      <c r="V504" s="609" t="str">
        <f t="shared" si="116"/>
        <v/>
      </c>
      <c r="W504" s="609" t="str">
        <f t="shared" si="116"/>
        <v/>
      </c>
      <c r="X504" s="609" t="str">
        <f t="shared" si="115"/>
        <v/>
      </c>
      <c r="Y504" s="609" t="str">
        <f t="shared" si="115"/>
        <v/>
      </c>
      <c r="Z504" s="609" t="str">
        <f t="shared" si="115"/>
        <v/>
      </c>
      <c r="AA504" s="609" t="str">
        <f t="shared" si="115"/>
        <v/>
      </c>
      <c r="AB504" s="609" t="str">
        <f t="shared" si="115"/>
        <v/>
      </c>
      <c r="AC504" s="609" t="str">
        <f t="shared" si="115"/>
        <v/>
      </c>
      <c r="AD504" s="609" t="str">
        <f t="shared" si="115"/>
        <v/>
      </c>
      <c r="AE504" s="609" t="str">
        <f t="shared" si="115"/>
        <v/>
      </c>
      <c r="AF504" s="609" t="str">
        <f t="shared" si="115"/>
        <v/>
      </c>
      <c r="AG504" s="609" t="str">
        <f t="shared" si="115"/>
        <v/>
      </c>
      <c r="AH504" s="609" t="str">
        <f t="shared" si="115"/>
        <v/>
      </c>
      <c r="AI504" s="609" t="str">
        <f t="shared" si="115"/>
        <v/>
      </c>
      <c r="AJ504" s="609" t="str">
        <f t="shared" si="115"/>
        <v/>
      </c>
      <c r="AK504" s="609" t="str">
        <f t="shared" si="115"/>
        <v/>
      </c>
      <c r="AL504" s="609" t="str">
        <f t="shared" si="115"/>
        <v/>
      </c>
      <c r="AM504" s="609" t="str">
        <f t="shared" si="114"/>
        <v/>
      </c>
      <c r="AN504" s="609" t="str">
        <f t="shared" si="114"/>
        <v/>
      </c>
      <c r="AO504" s="609" t="str">
        <f t="shared" si="114"/>
        <v/>
      </c>
      <c r="AP504" s="609" t="str">
        <f t="shared" si="114"/>
        <v/>
      </c>
      <c r="AQ504" s="609" t="str">
        <f t="shared" si="114"/>
        <v/>
      </c>
      <c r="AR504" s="609" t="str">
        <f t="shared" si="114"/>
        <v/>
      </c>
      <c r="AS504" s="609" t="str">
        <f t="shared" si="114"/>
        <v/>
      </c>
      <c r="AT504" s="609" t="str">
        <f t="shared" si="114"/>
        <v/>
      </c>
      <c r="AU504" s="609" t="str">
        <f t="shared" si="114"/>
        <v/>
      </c>
      <c r="AV504" s="609" t="str">
        <f t="shared" si="114"/>
        <v/>
      </c>
      <c r="AW504" s="609" t="str">
        <f t="shared" si="114"/>
        <v/>
      </c>
      <c r="AX504" s="609" t="str">
        <f t="shared" si="114"/>
        <v/>
      </c>
      <c r="AY504" s="609" t="str">
        <f t="shared" si="114"/>
        <v/>
      </c>
      <c r="AZ504" s="609" t="str">
        <f t="shared" si="114"/>
        <v/>
      </c>
      <c r="BA504" s="609" t="str">
        <f t="shared" si="114"/>
        <v/>
      </c>
      <c r="BB504" s="609" t="str">
        <f t="shared" si="114"/>
        <v/>
      </c>
      <c r="BC504" s="609" t="str">
        <f t="shared" si="113"/>
        <v/>
      </c>
      <c r="BD504" s="609" t="str">
        <f t="shared" si="113"/>
        <v/>
      </c>
      <c r="BE504" s="609" t="str">
        <f t="shared" si="113"/>
        <v/>
      </c>
      <c r="BF504" s="609" t="str">
        <f t="shared" si="113"/>
        <v/>
      </c>
      <c r="BG504" s="609" t="str">
        <f t="shared" si="113"/>
        <v/>
      </c>
    </row>
    <row r="505" spans="2:59" x14ac:dyDescent="0.25">
      <c r="B505" s="654">
        <v>499</v>
      </c>
      <c r="C505" s="654"/>
      <c r="D505" s="654"/>
      <c r="E505" s="655"/>
      <c r="F505" s="654"/>
      <c r="H505" s="609" t="str">
        <f t="shared" si="116"/>
        <v/>
      </c>
      <c r="I505" s="609" t="str">
        <f t="shared" si="116"/>
        <v/>
      </c>
      <c r="J505" s="609" t="str">
        <f t="shared" si="116"/>
        <v/>
      </c>
      <c r="K505" s="609" t="str">
        <f t="shared" si="116"/>
        <v/>
      </c>
      <c r="L505" s="609" t="str">
        <f t="shared" si="116"/>
        <v/>
      </c>
      <c r="M505" s="609" t="str">
        <f t="shared" si="116"/>
        <v/>
      </c>
      <c r="N505" s="609" t="str">
        <f t="shared" si="116"/>
        <v/>
      </c>
      <c r="O505" s="609" t="str">
        <f t="shared" si="116"/>
        <v/>
      </c>
      <c r="P505" s="609" t="str">
        <f t="shared" si="116"/>
        <v/>
      </c>
      <c r="Q505" s="609" t="str">
        <f t="shared" si="116"/>
        <v/>
      </c>
      <c r="R505" s="609" t="str">
        <f t="shared" si="116"/>
        <v/>
      </c>
      <c r="S505" s="609" t="str">
        <f t="shared" si="116"/>
        <v/>
      </c>
      <c r="T505" s="609" t="str">
        <f t="shared" si="116"/>
        <v/>
      </c>
      <c r="U505" s="609" t="str">
        <f t="shared" si="116"/>
        <v/>
      </c>
      <c r="V505" s="609" t="str">
        <f t="shared" si="116"/>
        <v/>
      </c>
      <c r="W505" s="609" t="str">
        <f t="shared" si="116"/>
        <v/>
      </c>
      <c r="X505" s="609" t="str">
        <f t="shared" si="115"/>
        <v/>
      </c>
      <c r="Y505" s="609" t="str">
        <f t="shared" si="115"/>
        <v/>
      </c>
      <c r="Z505" s="609" t="str">
        <f t="shared" si="115"/>
        <v/>
      </c>
      <c r="AA505" s="609" t="str">
        <f t="shared" si="115"/>
        <v/>
      </c>
      <c r="AB505" s="609" t="str">
        <f t="shared" si="115"/>
        <v/>
      </c>
      <c r="AC505" s="609" t="str">
        <f t="shared" si="115"/>
        <v/>
      </c>
      <c r="AD505" s="609" t="str">
        <f t="shared" si="115"/>
        <v/>
      </c>
      <c r="AE505" s="609" t="str">
        <f t="shared" si="115"/>
        <v/>
      </c>
      <c r="AF505" s="609" t="str">
        <f t="shared" si="115"/>
        <v/>
      </c>
      <c r="AG505" s="609" t="str">
        <f t="shared" si="115"/>
        <v/>
      </c>
      <c r="AH505" s="609" t="str">
        <f t="shared" si="115"/>
        <v/>
      </c>
      <c r="AI505" s="609" t="str">
        <f t="shared" si="115"/>
        <v/>
      </c>
      <c r="AJ505" s="609" t="str">
        <f t="shared" si="115"/>
        <v/>
      </c>
      <c r="AK505" s="609" t="str">
        <f t="shared" si="115"/>
        <v/>
      </c>
      <c r="AL505" s="609" t="str">
        <f t="shared" si="115"/>
        <v/>
      </c>
      <c r="AM505" s="609" t="str">
        <f t="shared" si="114"/>
        <v/>
      </c>
      <c r="AN505" s="609" t="str">
        <f t="shared" si="114"/>
        <v/>
      </c>
      <c r="AO505" s="609" t="str">
        <f t="shared" si="114"/>
        <v/>
      </c>
      <c r="AP505" s="609" t="str">
        <f t="shared" si="114"/>
        <v/>
      </c>
      <c r="AQ505" s="609" t="str">
        <f t="shared" si="114"/>
        <v/>
      </c>
      <c r="AR505" s="609" t="str">
        <f t="shared" si="114"/>
        <v/>
      </c>
      <c r="AS505" s="609" t="str">
        <f t="shared" si="114"/>
        <v/>
      </c>
      <c r="AT505" s="609" t="str">
        <f t="shared" si="114"/>
        <v/>
      </c>
      <c r="AU505" s="609" t="str">
        <f t="shared" si="114"/>
        <v/>
      </c>
      <c r="AV505" s="609" t="str">
        <f t="shared" si="114"/>
        <v/>
      </c>
      <c r="AW505" s="609" t="str">
        <f t="shared" si="114"/>
        <v/>
      </c>
      <c r="AX505" s="609" t="str">
        <f t="shared" si="114"/>
        <v/>
      </c>
      <c r="AY505" s="609" t="str">
        <f t="shared" si="114"/>
        <v/>
      </c>
      <c r="AZ505" s="609" t="str">
        <f t="shared" si="114"/>
        <v/>
      </c>
      <c r="BA505" s="609" t="str">
        <f t="shared" si="114"/>
        <v/>
      </c>
      <c r="BB505" s="609" t="str">
        <f t="shared" si="114"/>
        <v/>
      </c>
      <c r="BC505" s="609" t="str">
        <f t="shared" si="113"/>
        <v/>
      </c>
      <c r="BD505" s="609" t="str">
        <f t="shared" si="113"/>
        <v/>
      </c>
      <c r="BE505" s="609" t="str">
        <f t="shared" si="113"/>
        <v/>
      </c>
      <c r="BF505" s="609" t="str">
        <f t="shared" si="113"/>
        <v/>
      </c>
      <c r="BG505" s="609" t="str">
        <f t="shared" si="113"/>
        <v/>
      </c>
    </row>
    <row r="506" spans="2:59" ht="15.75" thickBot="1" x14ac:dyDescent="0.3">
      <c r="B506" s="654">
        <v>500</v>
      </c>
      <c r="C506" s="654"/>
      <c r="D506" s="654"/>
      <c r="E506" s="655"/>
      <c r="F506" s="654"/>
      <c r="H506" s="704" t="str">
        <f t="shared" si="116"/>
        <v/>
      </c>
      <c r="I506" s="704" t="str">
        <f t="shared" si="116"/>
        <v/>
      </c>
      <c r="J506" s="704" t="str">
        <f t="shared" si="116"/>
        <v/>
      </c>
      <c r="K506" s="704" t="str">
        <f t="shared" si="116"/>
        <v/>
      </c>
      <c r="L506" s="704" t="str">
        <f t="shared" si="116"/>
        <v/>
      </c>
      <c r="M506" s="704" t="str">
        <f t="shared" si="116"/>
        <v/>
      </c>
      <c r="N506" s="704" t="str">
        <f t="shared" si="116"/>
        <v/>
      </c>
      <c r="O506" s="704" t="str">
        <f t="shared" si="116"/>
        <v/>
      </c>
      <c r="P506" s="704" t="str">
        <f t="shared" si="116"/>
        <v/>
      </c>
      <c r="Q506" s="704" t="str">
        <f t="shared" si="116"/>
        <v/>
      </c>
      <c r="R506" s="704" t="str">
        <f t="shared" si="116"/>
        <v/>
      </c>
      <c r="S506" s="704" t="str">
        <f t="shared" si="116"/>
        <v/>
      </c>
      <c r="T506" s="704" t="str">
        <f t="shared" si="116"/>
        <v/>
      </c>
      <c r="U506" s="704" t="str">
        <f t="shared" si="116"/>
        <v/>
      </c>
      <c r="V506" s="704" t="str">
        <f t="shared" si="116"/>
        <v/>
      </c>
      <c r="W506" s="704" t="str">
        <f t="shared" si="116"/>
        <v/>
      </c>
      <c r="X506" s="704" t="str">
        <f t="shared" si="115"/>
        <v/>
      </c>
      <c r="Y506" s="704" t="str">
        <f t="shared" si="115"/>
        <v/>
      </c>
      <c r="Z506" s="704" t="str">
        <f t="shared" si="115"/>
        <v/>
      </c>
      <c r="AA506" s="704" t="str">
        <f t="shared" si="115"/>
        <v/>
      </c>
      <c r="AB506" s="704" t="str">
        <f t="shared" si="115"/>
        <v/>
      </c>
      <c r="AC506" s="704" t="str">
        <f t="shared" si="115"/>
        <v/>
      </c>
      <c r="AD506" s="704" t="str">
        <f t="shared" si="115"/>
        <v/>
      </c>
      <c r="AE506" s="704" t="str">
        <f t="shared" si="115"/>
        <v/>
      </c>
      <c r="AF506" s="704" t="str">
        <f t="shared" si="115"/>
        <v/>
      </c>
      <c r="AG506" s="704" t="str">
        <f t="shared" si="115"/>
        <v/>
      </c>
      <c r="AH506" s="704" t="str">
        <f t="shared" si="115"/>
        <v/>
      </c>
      <c r="AI506" s="704" t="str">
        <f t="shared" si="115"/>
        <v/>
      </c>
      <c r="AJ506" s="704" t="str">
        <f t="shared" si="115"/>
        <v/>
      </c>
      <c r="AK506" s="704" t="str">
        <f t="shared" si="115"/>
        <v/>
      </c>
      <c r="AL506" s="704" t="str">
        <f t="shared" si="115"/>
        <v/>
      </c>
      <c r="AM506" s="704" t="str">
        <f t="shared" si="114"/>
        <v/>
      </c>
      <c r="AN506" s="704" t="str">
        <f t="shared" si="114"/>
        <v/>
      </c>
      <c r="AO506" s="704" t="str">
        <f t="shared" si="114"/>
        <v/>
      </c>
      <c r="AP506" s="704" t="str">
        <f t="shared" si="114"/>
        <v/>
      </c>
      <c r="AQ506" s="704" t="str">
        <f t="shared" si="114"/>
        <v/>
      </c>
      <c r="AR506" s="704" t="str">
        <f t="shared" si="114"/>
        <v/>
      </c>
      <c r="AS506" s="704" t="str">
        <f t="shared" si="114"/>
        <v/>
      </c>
      <c r="AT506" s="704" t="str">
        <f t="shared" si="114"/>
        <v/>
      </c>
      <c r="AU506" s="704" t="str">
        <f t="shared" si="114"/>
        <v/>
      </c>
      <c r="AV506" s="704" t="str">
        <f t="shared" si="114"/>
        <v/>
      </c>
      <c r="AW506" s="704" t="str">
        <f t="shared" si="114"/>
        <v/>
      </c>
      <c r="AX506" s="704" t="str">
        <f t="shared" si="114"/>
        <v/>
      </c>
      <c r="AY506" s="704" t="str">
        <f t="shared" si="114"/>
        <v/>
      </c>
      <c r="AZ506" s="704" t="str">
        <f t="shared" si="114"/>
        <v/>
      </c>
      <c r="BA506" s="704" t="str">
        <f t="shared" si="114"/>
        <v/>
      </c>
      <c r="BB506" s="704" t="str">
        <f t="shared" ref="BB506:BG506" si="117">IF($D506=BB$6,$B506&amp;", ","")</f>
        <v/>
      </c>
      <c r="BC506" s="704" t="str">
        <f t="shared" si="117"/>
        <v/>
      </c>
      <c r="BD506" s="704" t="str">
        <f t="shared" si="117"/>
        <v/>
      </c>
      <c r="BE506" s="704" t="str">
        <f t="shared" si="117"/>
        <v/>
      </c>
      <c r="BF506" s="704" t="str">
        <f t="shared" si="117"/>
        <v/>
      </c>
      <c r="BG506" s="704" t="str">
        <f t="shared" si="117"/>
        <v/>
      </c>
    </row>
    <row r="507" spans="2:59" x14ac:dyDescent="0.25">
      <c r="H507" s="706" t="str">
        <f t="shared" ref="H507:AM507" si="118">CONCATENATE(H7,H8,H9,H10,H11,H12,H13,H14,H15,H16,H17,H18,H19,H20,H21,H22,H23,H24,H25,H26,H27,H28,H29,H30,H31,H32,H33,H34,H35,H36,H37,H38,H39,H40,H41,H42,H43,H44,H45,H46,H47,H48,H49,H50,H51,H52,H53,H54,H55,H56,H57,H58,H59,H60,H61,H62,H63,H64,H65,H66,H67,H68,H69,H70,H71,H72,H73,H74,H75,H76,H77,H78,H79,H80,H81,H82,H83,H84,H85,H86,H87,H88,H89,H90,H91,H92,H93,H94,H95,H96,H97,H98,H99,H100,H101,H102,H103,H104,H105,H106)</f>
        <v xml:space="preserve">1, </v>
      </c>
      <c r="I507" s="707" t="str">
        <f t="shared" si="118"/>
        <v xml:space="preserve">2, </v>
      </c>
      <c r="J507" s="707" t="str">
        <f t="shared" si="118"/>
        <v/>
      </c>
      <c r="K507" s="707" t="str">
        <f t="shared" si="118"/>
        <v/>
      </c>
      <c r="L507" s="707" t="str">
        <f t="shared" si="118"/>
        <v/>
      </c>
      <c r="M507" s="707" t="str">
        <f t="shared" si="118"/>
        <v/>
      </c>
      <c r="N507" s="707" t="str">
        <f t="shared" si="118"/>
        <v/>
      </c>
      <c r="O507" s="707" t="str">
        <f t="shared" si="118"/>
        <v/>
      </c>
      <c r="P507" s="707" t="str">
        <f t="shared" si="118"/>
        <v/>
      </c>
      <c r="Q507" s="707" t="str">
        <f t="shared" si="118"/>
        <v/>
      </c>
      <c r="R507" s="707" t="str">
        <f t="shared" si="118"/>
        <v/>
      </c>
      <c r="S507" s="707" t="str">
        <f t="shared" si="118"/>
        <v/>
      </c>
      <c r="T507" s="707" t="str">
        <f t="shared" si="118"/>
        <v/>
      </c>
      <c r="U507" s="707" t="str">
        <f t="shared" si="118"/>
        <v/>
      </c>
      <c r="V507" s="707" t="str">
        <f t="shared" si="118"/>
        <v/>
      </c>
      <c r="W507" s="707" t="str">
        <f t="shared" si="118"/>
        <v/>
      </c>
      <c r="X507" s="707" t="str">
        <f t="shared" si="118"/>
        <v/>
      </c>
      <c r="Y507" s="707" t="str">
        <f t="shared" si="118"/>
        <v/>
      </c>
      <c r="Z507" s="707" t="str">
        <f t="shared" si="118"/>
        <v/>
      </c>
      <c r="AA507" s="707" t="str">
        <f t="shared" si="118"/>
        <v/>
      </c>
      <c r="AB507" s="707" t="str">
        <f t="shared" si="118"/>
        <v/>
      </c>
      <c r="AC507" s="707" t="str">
        <f t="shared" si="118"/>
        <v/>
      </c>
      <c r="AD507" s="707" t="str">
        <f t="shared" si="118"/>
        <v/>
      </c>
      <c r="AE507" s="707" t="str">
        <f t="shared" si="118"/>
        <v/>
      </c>
      <c r="AF507" s="707" t="str">
        <f t="shared" si="118"/>
        <v/>
      </c>
      <c r="AG507" s="707" t="str">
        <f t="shared" si="118"/>
        <v/>
      </c>
      <c r="AH507" s="707" t="str">
        <f t="shared" si="118"/>
        <v/>
      </c>
      <c r="AI507" s="707" t="str">
        <f t="shared" si="118"/>
        <v/>
      </c>
      <c r="AJ507" s="707" t="str">
        <f t="shared" si="118"/>
        <v/>
      </c>
      <c r="AK507" s="707" t="str">
        <f t="shared" si="118"/>
        <v/>
      </c>
      <c r="AL507" s="707" t="str">
        <f t="shared" si="118"/>
        <v/>
      </c>
      <c r="AM507" s="707" t="str">
        <f t="shared" si="118"/>
        <v/>
      </c>
      <c r="AN507" s="707" t="str">
        <f t="shared" ref="AN507:BG507" si="119">CONCATENATE(AN7,AN8,AN9,AN10,AN11,AN12,AN13,AN14,AN15,AN16,AN17,AN18,AN19,AN20,AN21,AN22,AN23,AN24,AN25,AN26,AN27,AN28,AN29,AN30,AN31,AN32,AN33,AN34,AN35,AN36,AN37,AN38,AN39,AN40,AN41,AN42,AN43,AN44,AN45,AN46,AN47,AN48,AN49,AN50,AN51,AN52,AN53,AN54,AN55,AN56,AN57,AN58,AN59,AN60,AN61,AN62,AN63,AN64,AN65,AN66,AN67,AN68,AN69,AN70,AN71,AN72,AN73,AN74,AN75,AN76,AN77,AN78,AN79,AN80,AN81,AN82,AN83,AN84,AN85,AN86,AN87,AN88,AN89,AN90,AN91,AN92,AN93,AN94,AN95,AN96,AN97,AN98,AN99,AN100,AN101,AN102,AN103,AN104,AN105,AN106)</f>
        <v/>
      </c>
      <c r="AO507" s="707" t="str">
        <f t="shared" si="119"/>
        <v/>
      </c>
      <c r="AP507" s="707" t="str">
        <f t="shared" si="119"/>
        <v/>
      </c>
      <c r="AQ507" s="707" t="str">
        <f t="shared" si="119"/>
        <v/>
      </c>
      <c r="AR507" s="707" t="str">
        <f t="shared" si="119"/>
        <v/>
      </c>
      <c r="AS507" s="707" t="str">
        <f t="shared" si="119"/>
        <v/>
      </c>
      <c r="AT507" s="707" t="str">
        <f t="shared" si="119"/>
        <v/>
      </c>
      <c r="AU507" s="707" t="str">
        <f t="shared" si="119"/>
        <v/>
      </c>
      <c r="AV507" s="707" t="str">
        <f t="shared" si="119"/>
        <v/>
      </c>
      <c r="AW507" s="707" t="str">
        <f t="shared" si="119"/>
        <v/>
      </c>
      <c r="AX507" s="707" t="str">
        <f t="shared" si="119"/>
        <v/>
      </c>
      <c r="AY507" s="707" t="str">
        <f t="shared" si="119"/>
        <v/>
      </c>
      <c r="AZ507" s="707" t="str">
        <f t="shared" si="119"/>
        <v/>
      </c>
      <c r="BA507" s="707" t="str">
        <f t="shared" si="119"/>
        <v/>
      </c>
      <c r="BB507" s="707" t="str">
        <f t="shared" si="119"/>
        <v/>
      </c>
      <c r="BC507" s="707" t="str">
        <f t="shared" si="119"/>
        <v/>
      </c>
      <c r="BD507" s="707" t="str">
        <f t="shared" si="119"/>
        <v/>
      </c>
      <c r="BE507" s="707" t="str">
        <f t="shared" si="119"/>
        <v/>
      </c>
      <c r="BF507" s="707" t="str">
        <f t="shared" si="119"/>
        <v/>
      </c>
      <c r="BG507" s="708" t="str">
        <f t="shared" si="119"/>
        <v/>
      </c>
    </row>
    <row r="508" spans="2:59" x14ac:dyDescent="0.25">
      <c r="H508" s="709" t="str">
        <f t="shared" ref="H508:AM508" si="120">CONCATENATE(H107,H108,H109,H110,H111,H112,H113,H114,H115,H116,H117,H118,H119,H120,H121,H122,H123,H124,H125,H126,H127,H128,H129,H130,H131,H132,H133,H134,H135,H136,H137,H138,H139,H140,H141,H142,H143,H144,H145,H146,H147,H148,H149,H150,H151,H152,H153,H154,H155,H156,H157,H158,H159,H160,H161,H162,H163,H164,H165,H166,H167,H168,H169,H170,H171,H172,H173,H174,H175,H176,H177,H178,H179,H180,H181,H182,H183,H184,H185,H186,H187,H188,H189,H190,H191,H192,H193,H194,H195,H196,H197,H198,H199,H200,H201,H202,H203,H204,H205,H206)</f>
        <v/>
      </c>
      <c r="I508" s="705" t="str">
        <f t="shared" si="120"/>
        <v/>
      </c>
      <c r="J508" s="705" t="str">
        <f t="shared" si="120"/>
        <v/>
      </c>
      <c r="K508" s="705" t="str">
        <f t="shared" si="120"/>
        <v/>
      </c>
      <c r="L508" s="705" t="str">
        <f t="shared" si="120"/>
        <v/>
      </c>
      <c r="M508" s="705" t="str">
        <f t="shared" si="120"/>
        <v/>
      </c>
      <c r="N508" s="705" t="str">
        <f t="shared" si="120"/>
        <v/>
      </c>
      <c r="O508" s="705" t="str">
        <f t="shared" si="120"/>
        <v/>
      </c>
      <c r="P508" s="705" t="str">
        <f t="shared" si="120"/>
        <v/>
      </c>
      <c r="Q508" s="705" t="str">
        <f t="shared" si="120"/>
        <v/>
      </c>
      <c r="R508" s="705" t="str">
        <f t="shared" si="120"/>
        <v/>
      </c>
      <c r="S508" s="705" t="str">
        <f t="shared" si="120"/>
        <v/>
      </c>
      <c r="T508" s="705" t="str">
        <f t="shared" si="120"/>
        <v/>
      </c>
      <c r="U508" s="705" t="str">
        <f t="shared" si="120"/>
        <v/>
      </c>
      <c r="V508" s="705" t="str">
        <f t="shared" si="120"/>
        <v/>
      </c>
      <c r="W508" s="705" t="str">
        <f t="shared" si="120"/>
        <v/>
      </c>
      <c r="X508" s="705" t="str">
        <f t="shared" si="120"/>
        <v/>
      </c>
      <c r="Y508" s="705" t="str">
        <f t="shared" si="120"/>
        <v/>
      </c>
      <c r="Z508" s="705" t="str">
        <f t="shared" si="120"/>
        <v/>
      </c>
      <c r="AA508" s="705" t="str">
        <f t="shared" si="120"/>
        <v/>
      </c>
      <c r="AB508" s="705" t="str">
        <f t="shared" si="120"/>
        <v/>
      </c>
      <c r="AC508" s="705" t="str">
        <f t="shared" si="120"/>
        <v/>
      </c>
      <c r="AD508" s="705" t="str">
        <f t="shared" si="120"/>
        <v/>
      </c>
      <c r="AE508" s="705" t="str">
        <f t="shared" si="120"/>
        <v/>
      </c>
      <c r="AF508" s="705" t="str">
        <f t="shared" si="120"/>
        <v/>
      </c>
      <c r="AG508" s="705" t="str">
        <f t="shared" si="120"/>
        <v/>
      </c>
      <c r="AH508" s="705" t="str">
        <f t="shared" si="120"/>
        <v/>
      </c>
      <c r="AI508" s="705" t="str">
        <f t="shared" si="120"/>
        <v/>
      </c>
      <c r="AJ508" s="705" t="str">
        <f t="shared" si="120"/>
        <v/>
      </c>
      <c r="AK508" s="705" t="str">
        <f t="shared" si="120"/>
        <v/>
      </c>
      <c r="AL508" s="705" t="str">
        <f t="shared" si="120"/>
        <v/>
      </c>
      <c r="AM508" s="705" t="str">
        <f t="shared" si="120"/>
        <v/>
      </c>
      <c r="AN508" s="705" t="str">
        <f t="shared" ref="AN508:BG508" si="121">CONCATENATE(AN107,AN108,AN109,AN110,AN111,AN112,AN113,AN114,AN115,AN116,AN117,AN118,AN119,AN120,AN121,AN122,AN123,AN124,AN125,AN126,AN127,AN128,AN129,AN130,AN131,AN132,AN133,AN134,AN135,AN136,AN137,AN138,AN139,AN140,AN141,AN142,AN143,AN144,AN145,AN146,AN147,AN148,AN149,AN150,AN151,AN152,AN153,AN154,AN155,AN156,AN157,AN158,AN159,AN160,AN161,AN162,AN163,AN164,AN165,AN166,AN167,AN168,AN169,AN170,AN171,AN172,AN173,AN174,AN175,AN176,AN177,AN178,AN179,AN180,AN181,AN182,AN183,AN184,AN185,AN186,AN187,AN188,AN189,AN190,AN191,AN192,AN193,AN194,AN195,AN196,AN197,AN198,AN199,AN200,AN201,AN202,AN203,AN204,AN205,AN206)</f>
        <v/>
      </c>
      <c r="AO508" s="705" t="str">
        <f t="shared" si="121"/>
        <v/>
      </c>
      <c r="AP508" s="705" t="str">
        <f t="shared" si="121"/>
        <v/>
      </c>
      <c r="AQ508" s="705" t="str">
        <f t="shared" si="121"/>
        <v/>
      </c>
      <c r="AR508" s="705" t="str">
        <f t="shared" si="121"/>
        <v/>
      </c>
      <c r="AS508" s="705" t="str">
        <f t="shared" si="121"/>
        <v/>
      </c>
      <c r="AT508" s="705" t="str">
        <f t="shared" si="121"/>
        <v/>
      </c>
      <c r="AU508" s="705" t="str">
        <f t="shared" si="121"/>
        <v/>
      </c>
      <c r="AV508" s="705" t="str">
        <f t="shared" si="121"/>
        <v/>
      </c>
      <c r="AW508" s="705" t="str">
        <f t="shared" si="121"/>
        <v/>
      </c>
      <c r="AX508" s="705" t="str">
        <f t="shared" si="121"/>
        <v/>
      </c>
      <c r="AY508" s="705" t="str">
        <f t="shared" si="121"/>
        <v/>
      </c>
      <c r="AZ508" s="705" t="str">
        <f t="shared" si="121"/>
        <v/>
      </c>
      <c r="BA508" s="705" t="str">
        <f t="shared" si="121"/>
        <v/>
      </c>
      <c r="BB508" s="705" t="str">
        <f t="shared" si="121"/>
        <v/>
      </c>
      <c r="BC508" s="705" t="str">
        <f t="shared" si="121"/>
        <v/>
      </c>
      <c r="BD508" s="705" t="str">
        <f t="shared" si="121"/>
        <v/>
      </c>
      <c r="BE508" s="705" t="str">
        <f t="shared" si="121"/>
        <v/>
      </c>
      <c r="BF508" s="705" t="str">
        <f t="shared" si="121"/>
        <v/>
      </c>
      <c r="BG508" s="710" t="str">
        <f t="shared" si="121"/>
        <v/>
      </c>
    </row>
    <row r="509" spans="2:59" x14ac:dyDescent="0.25">
      <c r="H509" s="571" t="str">
        <f t="shared" ref="H509:AM509" si="122">CONCATENATE(H207,H208,H209,H210,H211,H212,H213,H214,H215,H216,H217,H218,H219,H220,H221,H222,H223,H224,H225,H226,H227,H228,H229,H230,H231,H232,H233,H234,H235,H236,H237,H238,H239,H240,H241,H242,H243,H244,H245,H246,H247,H248,H249,H250,H251,H252,H253,H254,H255,H256,H257,H258,H259,H260,H261,H262,H263,H264,H265,H266,H267,H268,H269,H270,H271,H272,H273,H274,H275,H276,H277,H278,H279,H280,H281,H282,H283,H284,H285,H286,H287,H288,H289,H290,H291,H292,H293,H294,H295,H296,H297,H298,H299,H300,H301,H302,H303,H304,H305,H306)</f>
        <v/>
      </c>
      <c r="I509" s="82" t="str">
        <f t="shared" si="122"/>
        <v/>
      </c>
      <c r="J509" s="82" t="str">
        <f t="shared" si="122"/>
        <v/>
      </c>
      <c r="K509" s="82" t="str">
        <f t="shared" si="122"/>
        <v/>
      </c>
      <c r="L509" s="82" t="str">
        <f t="shared" si="122"/>
        <v/>
      </c>
      <c r="M509" s="82" t="str">
        <f t="shared" si="122"/>
        <v/>
      </c>
      <c r="N509" s="82" t="str">
        <f t="shared" si="122"/>
        <v/>
      </c>
      <c r="O509" s="82" t="str">
        <f t="shared" si="122"/>
        <v/>
      </c>
      <c r="P509" s="82" t="str">
        <f t="shared" si="122"/>
        <v/>
      </c>
      <c r="Q509" s="82" t="str">
        <f t="shared" si="122"/>
        <v/>
      </c>
      <c r="R509" s="82" t="str">
        <f t="shared" si="122"/>
        <v/>
      </c>
      <c r="S509" s="82" t="str">
        <f t="shared" si="122"/>
        <v/>
      </c>
      <c r="T509" s="82" t="str">
        <f t="shared" si="122"/>
        <v/>
      </c>
      <c r="U509" s="82" t="str">
        <f t="shared" si="122"/>
        <v/>
      </c>
      <c r="V509" s="82" t="str">
        <f t="shared" si="122"/>
        <v/>
      </c>
      <c r="W509" s="82" t="str">
        <f t="shared" si="122"/>
        <v/>
      </c>
      <c r="X509" s="82" t="str">
        <f t="shared" si="122"/>
        <v/>
      </c>
      <c r="Y509" s="82" t="str">
        <f t="shared" si="122"/>
        <v/>
      </c>
      <c r="Z509" s="82" t="str">
        <f t="shared" si="122"/>
        <v/>
      </c>
      <c r="AA509" s="82" t="str">
        <f t="shared" si="122"/>
        <v/>
      </c>
      <c r="AB509" s="82" t="str">
        <f t="shared" si="122"/>
        <v/>
      </c>
      <c r="AC509" s="82" t="str">
        <f t="shared" si="122"/>
        <v/>
      </c>
      <c r="AD509" s="82" t="str">
        <f t="shared" si="122"/>
        <v/>
      </c>
      <c r="AE509" s="82" t="str">
        <f t="shared" si="122"/>
        <v/>
      </c>
      <c r="AF509" s="82" t="str">
        <f t="shared" si="122"/>
        <v/>
      </c>
      <c r="AG509" s="82" t="str">
        <f t="shared" si="122"/>
        <v/>
      </c>
      <c r="AH509" s="82" t="str">
        <f t="shared" si="122"/>
        <v/>
      </c>
      <c r="AI509" s="82" t="str">
        <f t="shared" si="122"/>
        <v/>
      </c>
      <c r="AJ509" s="82" t="str">
        <f t="shared" si="122"/>
        <v/>
      </c>
      <c r="AK509" s="82" t="str">
        <f t="shared" si="122"/>
        <v/>
      </c>
      <c r="AL509" s="82" t="str">
        <f t="shared" si="122"/>
        <v/>
      </c>
      <c r="AM509" s="82" t="str">
        <f t="shared" si="122"/>
        <v/>
      </c>
      <c r="AN509" s="82" t="str">
        <f t="shared" ref="AN509:BG509" si="123">CONCATENATE(AN207,AN208,AN209,AN210,AN211,AN212,AN213,AN214,AN215,AN216,AN217,AN218,AN219,AN220,AN221,AN222,AN223,AN224,AN225,AN226,AN227,AN228,AN229,AN230,AN231,AN232,AN233,AN234,AN235,AN236,AN237,AN238,AN239,AN240,AN241,AN242,AN243,AN244,AN245,AN246,AN247,AN248,AN249,AN250,AN251,AN252,AN253,AN254,AN255,AN256,AN257,AN258,AN259,AN260,AN261,AN262,AN263,AN264,AN265,AN266,AN267,AN268,AN269,AN270,AN271,AN272,AN273,AN274,AN275,AN276,AN277,AN278,AN279,AN280,AN281,AN282,AN283,AN284,AN285,AN286,AN287,AN288,AN289,AN290,AN291,AN292,AN293,AN294,AN295,AN296,AN297,AN298,AN299,AN300,AN301,AN302,AN303,AN304,AN305,AN306)</f>
        <v/>
      </c>
      <c r="AO509" s="82" t="str">
        <f t="shared" si="123"/>
        <v/>
      </c>
      <c r="AP509" s="82" t="str">
        <f t="shared" si="123"/>
        <v/>
      </c>
      <c r="AQ509" s="82" t="str">
        <f t="shared" si="123"/>
        <v/>
      </c>
      <c r="AR509" s="82" t="str">
        <f t="shared" si="123"/>
        <v/>
      </c>
      <c r="AS509" s="82" t="str">
        <f t="shared" si="123"/>
        <v/>
      </c>
      <c r="AT509" s="82" t="str">
        <f t="shared" si="123"/>
        <v/>
      </c>
      <c r="AU509" s="82" t="str">
        <f t="shared" si="123"/>
        <v/>
      </c>
      <c r="AV509" s="82" t="str">
        <f t="shared" si="123"/>
        <v/>
      </c>
      <c r="AW509" s="82" t="str">
        <f t="shared" si="123"/>
        <v/>
      </c>
      <c r="AX509" s="82" t="str">
        <f t="shared" si="123"/>
        <v/>
      </c>
      <c r="AY509" s="82" t="str">
        <f t="shared" si="123"/>
        <v/>
      </c>
      <c r="AZ509" s="82" t="str">
        <f t="shared" si="123"/>
        <v/>
      </c>
      <c r="BA509" s="82" t="str">
        <f t="shared" si="123"/>
        <v/>
      </c>
      <c r="BB509" s="82" t="str">
        <f t="shared" si="123"/>
        <v/>
      </c>
      <c r="BC509" s="82" t="str">
        <f t="shared" si="123"/>
        <v/>
      </c>
      <c r="BD509" s="82" t="str">
        <f t="shared" si="123"/>
        <v/>
      </c>
      <c r="BE509" s="82" t="str">
        <f t="shared" si="123"/>
        <v/>
      </c>
      <c r="BF509" s="82" t="str">
        <f t="shared" si="123"/>
        <v/>
      </c>
      <c r="BG509" s="572" t="str">
        <f t="shared" si="123"/>
        <v/>
      </c>
    </row>
    <row r="510" spans="2:59" x14ac:dyDescent="0.25">
      <c r="H510" s="571" t="str">
        <f>CONCATENATE(H307,H308,H309,H310,H311,H312,H313,H314,H315,H316,H317,H318,H319,H320,H321,H322,H323,H324,H325,H326,H327,H328,H329,H330,H331,H332,H333,H334,H335,H336,H337,H338,H339,H340,H341,H342,H343,H344,H345,H346,H347,H348,H349,H350,H351,H352,H353,H354,H355,H356,H357,H358,H359,H360,H361,H362,H363,H364,H365,H366,H367,H368,H369,H370,H371,H372,H373,H374,H375,H376,H377,H378,H379,H380,H381,H382,H383,H384,H385,H386,H387,H388,H389,H390,H391,H392,H393,H394,H395,H396,H397,H398,H399,H400,H401,H402,H403,H404,H405,H406)</f>
        <v/>
      </c>
      <c r="I510" s="82" t="str">
        <f>CONCATENATE(I307,I308,I309,I310,I311,I312,I313,I314,I315,I316,I317,I318,I319,I320,I321,I322,I323,I324,I325,I326,I327,I328,I329,I330,I331,I332,I333,I334,I335,I336,I337,I338,I339,I340,I341,I342,I343,I344,I345,I346,I347,I348,I349,I350,I351,I352,I353,I354,I355,I356,I357,I358,I359,I360,I361,I362,I363,I364,I365,I366,I367,I368,I369,I370,I371,I372,I373,I374,I375,I376,I377,I378,I379,I380,I381,I382,I383,I384,I385,I386,I387,I388,I389,I390,I391,I392,I393,I394,I395,I396,I397,I398,I399,I400,I401,I402,I403,I404,I405,I406)</f>
        <v/>
      </c>
      <c r="J510" s="82" t="str">
        <f t="shared" ref="J510:BG510" si="124">CONCATENATE(J307,J308,J309,J310,J311,J312,J313,J314,J315,J316,J317,J318,J319,J320,J321,J322,J323,J324,J325,J326,J327,J328,J329,J330,J331,J332,J333,J334,J335,J336,J337,J338,J339,J340,J341,J342,J343,J344,J345,J346,J347,J348,J349,J350,J351,J352,J353,J354,J355,J356,J357,J358,J359,J360,J361,J362,J363,J364,J365,J366,J367,J368,J369,J370,J371,J372,J373,J374,J375,J376,J377,J378,J379,J380,J381,J382,J383,J384,J385,J386,J387,J388,J389,J390,J391,J392,J393,J394,J395,J396,J397,J398,J399,J400,J401,J402,J403,J404,J405,J406)</f>
        <v/>
      </c>
      <c r="K510" s="82" t="str">
        <f t="shared" si="124"/>
        <v/>
      </c>
      <c r="L510" s="82" t="str">
        <f t="shared" si="124"/>
        <v/>
      </c>
      <c r="M510" s="82" t="str">
        <f t="shared" si="124"/>
        <v/>
      </c>
      <c r="N510" s="82" t="str">
        <f t="shared" si="124"/>
        <v/>
      </c>
      <c r="O510" s="82" t="str">
        <f t="shared" si="124"/>
        <v/>
      </c>
      <c r="P510" s="82" t="str">
        <f t="shared" si="124"/>
        <v/>
      </c>
      <c r="Q510" s="82" t="str">
        <f t="shared" si="124"/>
        <v/>
      </c>
      <c r="R510" s="82" t="str">
        <f t="shared" si="124"/>
        <v/>
      </c>
      <c r="S510" s="82" t="str">
        <f t="shared" si="124"/>
        <v/>
      </c>
      <c r="T510" s="82" t="str">
        <f t="shared" si="124"/>
        <v/>
      </c>
      <c r="U510" s="82" t="str">
        <f t="shared" si="124"/>
        <v/>
      </c>
      <c r="V510" s="82" t="str">
        <f t="shared" si="124"/>
        <v/>
      </c>
      <c r="W510" s="82" t="str">
        <f t="shared" si="124"/>
        <v/>
      </c>
      <c r="X510" s="82" t="str">
        <f t="shared" si="124"/>
        <v/>
      </c>
      <c r="Y510" s="82" t="str">
        <f t="shared" si="124"/>
        <v/>
      </c>
      <c r="Z510" s="82" t="str">
        <f t="shared" si="124"/>
        <v/>
      </c>
      <c r="AA510" s="82" t="str">
        <f t="shared" si="124"/>
        <v/>
      </c>
      <c r="AB510" s="82" t="str">
        <f t="shared" si="124"/>
        <v/>
      </c>
      <c r="AC510" s="82" t="str">
        <f t="shared" si="124"/>
        <v/>
      </c>
      <c r="AD510" s="82" t="str">
        <f t="shared" si="124"/>
        <v/>
      </c>
      <c r="AE510" s="82" t="str">
        <f t="shared" si="124"/>
        <v/>
      </c>
      <c r="AF510" s="82" t="str">
        <f t="shared" si="124"/>
        <v/>
      </c>
      <c r="AG510" s="82" t="str">
        <f t="shared" si="124"/>
        <v/>
      </c>
      <c r="AH510" s="82" t="str">
        <f t="shared" si="124"/>
        <v/>
      </c>
      <c r="AI510" s="82" t="str">
        <f t="shared" si="124"/>
        <v/>
      </c>
      <c r="AJ510" s="82" t="str">
        <f t="shared" si="124"/>
        <v/>
      </c>
      <c r="AK510" s="82" t="str">
        <f t="shared" si="124"/>
        <v/>
      </c>
      <c r="AL510" s="82" t="str">
        <f t="shared" si="124"/>
        <v/>
      </c>
      <c r="AM510" s="82" t="str">
        <f t="shared" si="124"/>
        <v/>
      </c>
      <c r="AN510" s="82" t="str">
        <f t="shared" si="124"/>
        <v/>
      </c>
      <c r="AO510" s="82" t="str">
        <f t="shared" si="124"/>
        <v/>
      </c>
      <c r="AP510" s="82" t="str">
        <f t="shared" si="124"/>
        <v/>
      </c>
      <c r="AQ510" s="82" t="str">
        <f t="shared" si="124"/>
        <v/>
      </c>
      <c r="AR510" s="82" t="str">
        <f t="shared" si="124"/>
        <v/>
      </c>
      <c r="AS510" s="82" t="str">
        <f t="shared" si="124"/>
        <v/>
      </c>
      <c r="AT510" s="82" t="str">
        <f t="shared" si="124"/>
        <v/>
      </c>
      <c r="AU510" s="82" t="str">
        <f t="shared" si="124"/>
        <v/>
      </c>
      <c r="AV510" s="82" t="str">
        <f t="shared" si="124"/>
        <v/>
      </c>
      <c r="AW510" s="82" t="str">
        <f t="shared" si="124"/>
        <v/>
      </c>
      <c r="AX510" s="82" t="str">
        <f t="shared" si="124"/>
        <v/>
      </c>
      <c r="AY510" s="82" t="str">
        <f t="shared" si="124"/>
        <v/>
      </c>
      <c r="AZ510" s="82" t="str">
        <f t="shared" si="124"/>
        <v/>
      </c>
      <c r="BA510" s="82" t="str">
        <f t="shared" si="124"/>
        <v/>
      </c>
      <c r="BB510" s="82" t="str">
        <f t="shared" si="124"/>
        <v/>
      </c>
      <c r="BC510" s="82" t="str">
        <f t="shared" si="124"/>
        <v/>
      </c>
      <c r="BD510" s="82" t="str">
        <f t="shared" si="124"/>
        <v/>
      </c>
      <c r="BE510" s="82" t="str">
        <f t="shared" si="124"/>
        <v/>
      </c>
      <c r="BF510" s="82" t="str">
        <f t="shared" si="124"/>
        <v/>
      </c>
      <c r="BG510" s="572" t="str">
        <f t="shared" si="124"/>
        <v/>
      </c>
    </row>
    <row r="511" spans="2:59" ht="15.75" thickBot="1" x14ac:dyDescent="0.3">
      <c r="H511" s="573" t="str">
        <f>CONCATENATE(H407,H408,H409,H410,H411,H412,H413,H414,H415,H416,H417,H418,H419,H420,H421,H422,H423,H424,H425,H426,H427,H428,H429,H430,H431,H432,H433,H434,H435,H436,H437,H438,H439,H440,H441,H442,H443,H444,H445,H446,H447,H448,H449,H450,H451,H452,H453,H454,H455,H456,H457,H458,H459,H460,H461,H462,H463,H464,H465,H466,H467,H468,H469,H470,H471,H472,H473,H474,H475,H476,H477,H478,H479,H480,H481,H482,H483,H484,H485,H486,H487,H488,H489,H490,H491,H492,H493,H494,H495,H496,H497,H498,H499,H500,H501,H502,H503,H504,H505,H506)</f>
        <v/>
      </c>
      <c r="I511" s="574" t="str">
        <f>CONCATENATE(I407,I408,I409,I410,I411,I412,I413,I414,I415,I416,I417,I418,I419,I420,I421,I422,I423,I424,I425,I426,I427,I428,I429,I430,I431,I432,I433,I434,I435,I436,I437,I438,I439,I440,I441,I442,I443,I444,I445,I446,I447,I448,I449,I450,I451,I452,I453,I454,I455,I456,I457,I458,I459,I460,I461,I462,I463,I464,I465,I466,I467,I468,I469,I470,I471,I472,I473,I474,I475,I476,I477,I478,I479,I480,I481,I482,I483,I484,I485,I486,I487,I488,I489,I490,I491,I492,I493,I494,I495,I496,I497,I498,I499,I500,I501,I502,I503,I504,I505,I506)</f>
        <v/>
      </c>
      <c r="J511" s="574" t="str">
        <f t="shared" ref="J511:BG511" si="125">CONCATENATE(J407,J408,J409,J410,J411,J412,J413,J414,J415,J416,J417,J418,J419,J420,J421,J422,J423,J424,J425,J426,J427,J428,J429,J430,J431,J432,J433,J434,J435,J436,J437,J438,J439,J440,J441,J442,J443,J444,J445,J446,J447,J448,J449,J450,J451,J452,J453,J454,J455,J456,J457,J458,J459,J460,J461,J462,J463,J464,J465,J466,J467,J468,J469,J470,J471,J472,J473,J474,J475,J476,J477,J478,J479,J480,J481,J482,J483,J484,J485,J486,J487,J488,J489,J490,J491,J492,J493,J494,J495,J496,J497,J498,J499,J500,J501,J502,J503,J504,J505,J506)</f>
        <v/>
      </c>
      <c r="K511" s="574" t="str">
        <f t="shared" si="125"/>
        <v/>
      </c>
      <c r="L511" s="574" t="str">
        <f t="shared" si="125"/>
        <v/>
      </c>
      <c r="M511" s="574" t="str">
        <f t="shared" si="125"/>
        <v/>
      </c>
      <c r="N511" s="574" t="str">
        <f t="shared" si="125"/>
        <v/>
      </c>
      <c r="O511" s="574" t="str">
        <f t="shared" si="125"/>
        <v/>
      </c>
      <c r="P511" s="574" t="str">
        <f t="shared" si="125"/>
        <v/>
      </c>
      <c r="Q511" s="574" t="str">
        <f t="shared" si="125"/>
        <v/>
      </c>
      <c r="R511" s="574" t="str">
        <f t="shared" si="125"/>
        <v/>
      </c>
      <c r="S511" s="574" t="str">
        <f t="shared" si="125"/>
        <v/>
      </c>
      <c r="T511" s="574" t="str">
        <f t="shared" si="125"/>
        <v/>
      </c>
      <c r="U511" s="574" t="str">
        <f t="shared" si="125"/>
        <v/>
      </c>
      <c r="V511" s="574" t="str">
        <f t="shared" si="125"/>
        <v/>
      </c>
      <c r="W511" s="574" t="str">
        <f t="shared" si="125"/>
        <v/>
      </c>
      <c r="X511" s="574" t="str">
        <f t="shared" si="125"/>
        <v/>
      </c>
      <c r="Y511" s="574" t="str">
        <f t="shared" si="125"/>
        <v/>
      </c>
      <c r="Z511" s="574" t="str">
        <f t="shared" si="125"/>
        <v/>
      </c>
      <c r="AA511" s="574" t="str">
        <f t="shared" si="125"/>
        <v/>
      </c>
      <c r="AB511" s="574" t="str">
        <f t="shared" si="125"/>
        <v/>
      </c>
      <c r="AC511" s="574" t="str">
        <f t="shared" si="125"/>
        <v/>
      </c>
      <c r="AD511" s="574" t="str">
        <f t="shared" si="125"/>
        <v/>
      </c>
      <c r="AE511" s="574" t="str">
        <f t="shared" si="125"/>
        <v/>
      </c>
      <c r="AF511" s="574" t="str">
        <f t="shared" si="125"/>
        <v/>
      </c>
      <c r="AG511" s="574" t="str">
        <f t="shared" si="125"/>
        <v/>
      </c>
      <c r="AH511" s="574" t="str">
        <f t="shared" si="125"/>
        <v/>
      </c>
      <c r="AI511" s="574" t="str">
        <f t="shared" si="125"/>
        <v/>
      </c>
      <c r="AJ511" s="574" t="str">
        <f t="shared" si="125"/>
        <v/>
      </c>
      <c r="AK511" s="574" t="str">
        <f t="shared" si="125"/>
        <v/>
      </c>
      <c r="AL511" s="574" t="str">
        <f t="shared" si="125"/>
        <v/>
      </c>
      <c r="AM511" s="574" t="str">
        <f t="shared" si="125"/>
        <v/>
      </c>
      <c r="AN511" s="574" t="str">
        <f t="shared" si="125"/>
        <v/>
      </c>
      <c r="AO511" s="574" t="str">
        <f t="shared" si="125"/>
        <v/>
      </c>
      <c r="AP511" s="574" t="str">
        <f t="shared" si="125"/>
        <v/>
      </c>
      <c r="AQ511" s="574" t="str">
        <f t="shared" si="125"/>
        <v/>
      </c>
      <c r="AR511" s="574" t="str">
        <f t="shared" si="125"/>
        <v/>
      </c>
      <c r="AS511" s="574" t="str">
        <f t="shared" si="125"/>
        <v/>
      </c>
      <c r="AT511" s="574" t="str">
        <f t="shared" si="125"/>
        <v/>
      </c>
      <c r="AU511" s="574" t="str">
        <f t="shared" si="125"/>
        <v/>
      </c>
      <c r="AV511" s="574" t="str">
        <f t="shared" si="125"/>
        <v/>
      </c>
      <c r="AW511" s="574" t="str">
        <f t="shared" si="125"/>
        <v/>
      </c>
      <c r="AX511" s="574" t="str">
        <f t="shared" si="125"/>
        <v/>
      </c>
      <c r="AY511" s="574" t="str">
        <f t="shared" si="125"/>
        <v/>
      </c>
      <c r="AZ511" s="574" t="str">
        <f t="shared" si="125"/>
        <v/>
      </c>
      <c r="BA511" s="574" t="str">
        <f t="shared" si="125"/>
        <v/>
      </c>
      <c r="BB511" s="574" t="str">
        <f t="shared" si="125"/>
        <v/>
      </c>
      <c r="BC511" s="574" t="str">
        <f t="shared" si="125"/>
        <v/>
      </c>
      <c r="BD511" s="574" t="str">
        <f t="shared" si="125"/>
        <v/>
      </c>
      <c r="BE511" s="574" t="str">
        <f t="shared" si="125"/>
        <v/>
      </c>
      <c r="BF511" s="574" t="str">
        <f t="shared" si="125"/>
        <v/>
      </c>
      <c r="BG511" s="575" t="str">
        <f t="shared" si="125"/>
        <v/>
      </c>
    </row>
    <row r="512" spans="2:59" ht="15.75" thickBot="1" x14ac:dyDescent="0.3">
      <c r="H512" s="711" t="str">
        <f t="shared" ref="H512:AM512" si="126">H6</f>
        <v>Man 01</v>
      </c>
      <c r="I512" s="103" t="str">
        <f t="shared" si="126"/>
        <v>Man 02</v>
      </c>
      <c r="J512" s="103" t="str">
        <f t="shared" si="126"/>
        <v>Man 03</v>
      </c>
      <c r="K512" s="103" t="str">
        <f t="shared" si="126"/>
        <v>Man 04</v>
      </c>
      <c r="L512" s="103" t="str">
        <f t="shared" si="126"/>
        <v>Man 05</v>
      </c>
      <c r="M512" s="103" t="str">
        <f t="shared" si="126"/>
        <v>Hea 01</v>
      </c>
      <c r="N512" s="103" t="str">
        <f t="shared" si="126"/>
        <v>Hea 02</v>
      </c>
      <c r="O512" s="103" t="str">
        <f t="shared" si="126"/>
        <v>Hea 03</v>
      </c>
      <c r="P512" s="103" t="str">
        <f t="shared" si="126"/>
        <v>Hea 04</v>
      </c>
      <c r="Q512" s="103" t="str">
        <f t="shared" si="126"/>
        <v>Hea 05</v>
      </c>
      <c r="R512" s="103" t="str">
        <f t="shared" si="126"/>
        <v>Hea 06</v>
      </c>
      <c r="S512" s="103" t="str">
        <f t="shared" si="126"/>
        <v>Hea 07</v>
      </c>
      <c r="T512" s="103" t="str">
        <f t="shared" si="126"/>
        <v>Hea 08</v>
      </c>
      <c r="U512" s="103" t="str">
        <f t="shared" si="126"/>
        <v>Hea 09</v>
      </c>
      <c r="V512" s="103" t="str">
        <f t="shared" si="126"/>
        <v>Ene 01</v>
      </c>
      <c r="W512" s="103" t="str">
        <f t="shared" si="126"/>
        <v>Ene 02</v>
      </c>
      <c r="X512" s="103" t="str">
        <f t="shared" si="126"/>
        <v>Ene 03</v>
      </c>
      <c r="Y512" s="103" t="str">
        <f t="shared" si="126"/>
        <v>Ene 04</v>
      </c>
      <c r="Z512" s="103" t="str">
        <f t="shared" si="126"/>
        <v>Ene 05</v>
      </c>
      <c r="AA512" s="103" t="str">
        <f t="shared" si="126"/>
        <v>Ene 06</v>
      </c>
      <c r="AB512" s="103" t="str">
        <f t="shared" si="126"/>
        <v>Ene 07</v>
      </c>
      <c r="AC512" s="103" t="str">
        <f t="shared" si="126"/>
        <v>Ene 08</v>
      </c>
      <c r="AD512" s="103" t="str">
        <f t="shared" si="126"/>
        <v>Ene 09</v>
      </c>
      <c r="AE512" s="103" t="str">
        <f t="shared" si="126"/>
        <v>Ene 23</v>
      </c>
      <c r="AF512" s="103" t="str">
        <f t="shared" si="126"/>
        <v>Tra 01</v>
      </c>
      <c r="AG512" s="103" t="str">
        <f t="shared" si="126"/>
        <v>Tra 02</v>
      </c>
      <c r="AH512" s="103" t="str">
        <f t="shared" si="126"/>
        <v>Tra 03</v>
      </c>
      <c r="AI512" s="103" t="str">
        <f t="shared" si="126"/>
        <v>Tra 04</v>
      </c>
      <c r="AJ512" s="103" t="str">
        <f t="shared" si="126"/>
        <v>Tra 05</v>
      </c>
      <c r="AK512" s="103" t="str">
        <f t="shared" si="126"/>
        <v>Tra 06</v>
      </c>
      <c r="AL512" s="103" t="str">
        <f t="shared" si="126"/>
        <v>Wat 01</v>
      </c>
      <c r="AM512" s="103" t="str">
        <f t="shared" si="126"/>
        <v>Wat 02</v>
      </c>
      <c r="AN512" s="103" t="str">
        <f t="shared" ref="AN512:BG512" si="127">AN6</f>
        <v>Wat 03</v>
      </c>
      <c r="AO512" s="103" t="str">
        <f t="shared" si="127"/>
        <v>Wat 04</v>
      </c>
      <c r="AP512" s="103" t="str">
        <f t="shared" si="127"/>
        <v>Mat 01</v>
      </c>
      <c r="AQ512" s="103" t="str">
        <f t="shared" si="127"/>
        <v>Mat 03</v>
      </c>
      <c r="AR512" s="103" t="str">
        <f t="shared" si="127"/>
        <v>Mat 05</v>
      </c>
      <c r="AS512" s="103" t="str">
        <f t="shared" si="127"/>
        <v>Wst 01</v>
      </c>
      <c r="AT512" s="103" t="str">
        <f t="shared" si="127"/>
        <v>Wst 02</v>
      </c>
      <c r="AU512" s="103" t="str">
        <f t="shared" si="127"/>
        <v>Wst 03</v>
      </c>
      <c r="AV512" s="103" t="str">
        <f t="shared" si="127"/>
        <v>Wst 04</v>
      </c>
      <c r="AW512" s="103" t="str">
        <f t="shared" si="127"/>
        <v>LE 01</v>
      </c>
      <c r="AX512" s="103" t="str">
        <f t="shared" si="127"/>
        <v>LE 02</v>
      </c>
      <c r="AY512" s="103" t="str">
        <f t="shared" si="127"/>
        <v>LE 04</v>
      </c>
      <c r="AZ512" s="103" t="str">
        <f t="shared" si="127"/>
        <v>LE 05</v>
      </c>
      <c r="BA512" s="103" t="str">
        <f t="shared" si="127"/>
        <v>LE 06</v>
      </c>
      <c r="BB512" s="103" t="str">
        <f t="shared" si="127"/>
        <v>POL 01</v>
      </c>
      <c r="BC512" s="103" t="str">
        <f t="shared" si="127"/>
        <v>POL 02</v>
      </c>
      <c r="BD512" s="103" t="str">
        <f t="shared" si="127"/>
        <v>POL 03</v>
      </c>
      <c r="BE512" s="103" t="str">
        <f t="shared" si="127"/>
        <v>POL 04</v>
      </c>
      <c r="BF512" s="103" t="str">
        <f t="shared" si="127"/>
        <v>POL 05</v>
      </c>
      <c r="BG512" s="712" t="str">
        <f t="shared" si="127"/>
        <v>Exemplary level and innovation</v>
      </c>
    </row>
    <row r="513" spans="8:59" ht="15.75" thickBot="1" x14ac:dyDescent="0.3">
      <c r="H513" s="675" t="str">
        <f>CONCATENATE(H507,H508,H509,H510,H511)</f>
        <v xml:space="preserve">1, </v>
      </c>
      <c r="I513" s="676" t="str">
        <f>CONCATENATE(I507,I508,I509,I510,I511)</f>
        <v xml:space="preserve">2, </v>
      </c>
      <c r="J513" s="676" t="str">
        <f t="shared" ref="J513:BG513" si="128">CONCATENATE(J507,J508,J509,J510,J511)</f>
        <v/>
      </c>
      <c r="K513" s="676" t="str">
        <f t="shared" si="128"/>
        <v/>
      </c>
      <c r="L513" s="676" t="str">
        <f t="shared" si="128"/>
        <v/>
      </c>
      <c r="M513" s="676" t="str">
        <f t="shared" si="128"/>
        <v/>
      </c>
      <c r="N513" s="676" t="str">
        <f t="shared" si="128"/>
        <v/>
      </c>
      <c r="O513" s="676" t="str">
        <f t="shared" si="128"/>
        <v/>
      </c>
      <c r="P513" s="676" t="str">
        <f t="shared" si="128"/>
        <v/>
      </c>
      <c r="Q513" s="676" t="str">
        <f t="shared" si="128"/>
        <v/>
      </c>
      <c r="R513" s="676" t="str">
        <f t="shared" si="128"/>
        <v/>
      </c>
      <c r="S513" s="676" t="str">
        <f t="shared" si="128"/>
        <v/>
      </c>
      <c r="T513" s="676" t="str">
        <f t="shared" si="128"/>
        <v/>
      </c>
      <c r="U513" s="676" t="str">
        <f t="shared" si="128"/>
        <v/>
      </c>
      <c r="V513" s="676" t="str">
        <f t="shared" si="128"/>
        <v/>
      </c>
      <c r="W513" s="676" t="str">
        <f t="shared" si="128"/>
        <v/>
      </c>
      <c r="X513" s="676" t="str">
        <f t="shared" si="128"/>
        <v/>
      </c>
      <c r="Y513" s="676" t="str">
        <f t="shared" si="128"/>
        <v/>
      </c>
      <c r="Z513" s="676" t="str">
        <f t="shared" si="128"/>
        <v/>
      </c>
      <c r="AA513" s="676" t="str">
        <f t="shared" si="128"/>
        <v/>
      </c>
      <c r="AB513" s="676" t="str">
        <f t="shared" si="128"/>
        <v/>
      </c>
      <c r="AC513" s="676" t="str">
        <f t="shared" si="128"/>
        <v/>
      </c>
      <c r="AD513" s="676" t="str">
        <f t="shared" si="128"/>
        <v/>
      </c>
      <c r="AE513" s="676" t="str">
        <f t="shared" si="128"/>
        <v/>
      </c>
      <c r="AF513" s="676" t="str">
        <f t="shared" si="128"/>
        <v/>
      </c>
      <c r="AG513" s="676" t="str">
        <f t="shared" si="128"/>
        <v/>
      </c>
      <c r="AH513" s="676" t="str">
        <f t="shared" si="128"/>
        <v/>
      </c>
      <c r="AI513" s="676" t="str">
        <f t="shared" si="128"/>
        <v/>
      </c>
      <c r="AJ513" s="676" t="str">
        <f t="shared" si="128"/>
        <v/>
      </c>
      <c r="AK513" s="676" t="str">
        <f t="shared" si="128"/>
        <v/>
      </c>
      <c r="AL513" s="676" t="str">
        <f t="shared" si="128"/>
        <v/>
      </c>
      <c r="AM513" s="676" t="str">
        <f t="shared" si="128"/>
        <v/>
      </c>
      <c r="AN513" s="676" t="str">
        <f t="shared" si="128"/>
        <v/>
      </c>
      <c r="AO513" s="676" t="str">
        <f t="shared" si="128"/>
        <v/>
      </c>
      <c r="AP513" s="676" t="str">
        <f t="shared" si="128"/>
        <v/>
      </c>
      <c r="AQ513" s="676" t="str">
        <f t="shared" si="128"/>
        <v/>
      </c>
      <c r="AR513" s="676" t="str">
        <f t="shared" si="128"/>
        <v/>
      </c>
      <c r="AS513" s="676" t="str">
        <f t="shared" si="128"/>
        <v/>
      </c>
      <c r="AT513" s="676" t="str">
        <f t="shared" si="128"/>
        <v/>
      </c>
      <c r="AU513" s="676" t="str">
        <f t="shared" si="128"/>
        <v/>
      </c>
      <c r="AV513" s="676" t="str">
        <f t="shared" si="128"/>
        <v/>
      </c>
      <c r="AW513" s="676" t="str">
        <f t="shared" si="128"/>
        <v/>
      </c>
      <c r="AX513" s="676" t="str">
        <f t="shared" si="128"/>
        <v/>
      </c>
      <c r="AY513" s="676" t="str">
        <f t="shared" si="128"/>
        <v/>
      </c>
      <c r="AZ513" s="676" t="str">
        <f t="shared" si="128"/>
        <v/>
      </c>
      <c r="BA513" s="676" t="str">
        <f t="shared" si="128"/>
        <v/>
      </c>
      <c r="BB513" s="676" t="str">
        <f t="shared" si="128"/>
        <v/>
      </c>
      <c r="BC513" s="676" t="str">
        <f t="shared" si="128"/>
        <v/>
      </c>
      <c r="BD513" s="676" t="str">
        <f t="shared" si="128"/>
        <v/>
      </c>
      <c r="BE513" s="676" t="str">
        <f t="shared" si="128"/>
        <v/>
      </c>
      <c r="BF513" s="676" t="str">
        <f t="shared" si="128"/>
        <v/>
      </c>
      <c r="BG513" s="677" t="str">
        <f t="shared" si="128"/>
        <v/>
      </c>
    </row>
  </sheetData>
  <sheetProtection algorithmName="SHA-512" hashValue="mjpM50a832gdjpSzIIiLzXpNOhB6rAOTqv1qwJAt6bqI/wNH5YM+hUOw4KLZfL8M3Q0K1oOaBWLgvXaJ2d1Y8A==" saltValue="JZSyWoGj7uxKwGAKZ7M09A==" spinCount="100000" sheet="1" formatCells="0" formatRows="0" selectLockedCells="1" autoFilter="0"/>
  <autoFilter ref="B6:BG506" xr:uid="{5C7BBC3A-7287-455A-AE69-C668AEA4EA5F}"/>
  <pageMargins left="0.7" right="0.7" top="0.75" bottom="0.75" header="0.3" footer="0.3"/>
  <pageSetup paperSize="9" scale="52"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Options!$T$3:$T$54</xm:f>
          </x14:formula1>
          <xm:sqref>D7:D506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A1:R75"/>
  <sheetViews>
    <sheetView zoomScaleNormal="100" workbookViewId="0">
      <selection activeCell="X5" sqref="X5"/>
    </sheetView>
  </sheetViews>
  <sheetFormatPr defaultColWidth="9.140625" defaultRowHeight="15" x14ac:dyDescent="0.25"/>
  <cols>
    <col min="1" max="1" width="2.5703125" style="1" customWidth="1"/>
    <col min="2" max="2" width="17.85546875" style="1" bestFit="1" customWidth="1"/>
    <col min="3" max="3" width="15.5703125" style="1" customWidth="1"/>
    <col min="4" max="16" width="9.140625" style="1"/>
    <col min="17" max="17" width="3.140625" style="1" customWidth="1"/>
    <col min="18" max="16384" width="9.140625" style="1"/>
  </cols>
  <sheetData>
    <row r="1" spans="1:18" ht="15" customHeight="1" x14ac:dyDescent="0.25">
      <c r="B1" s="1417"/>
      <c r="C1" s="1418"/>
      <c r="D1" s="1418"/>
      <c r="E1" s="1418"/>
      <c r="F1" s="1418"/>
      <c r="G1" s="1418"/>
      <c r="H1" s="1418"/>
      <c r="I1" s="1418"/>
      <c r="J1" s="1418"/>
      <c r="K1" s="1418"/>
      <c r="L1" s="1418"/>
      <c r="N1" s="9"/>
      <c r="O1" s="9"/>
      <c r="P1" s="1050"/>
    </row>
    <row r="2" spans="1:18" ht="35.25" customHeight="1" x14ac:dyDescent="0.35">
      <c r="B2" s="1423" t="s">
        <v>966</v>
      </c>
      <c r="C2" s="1424"/>
      <c r="D2" s="1424"/>
      <c r="E2" s="1424"/>
      <c r="F2" s="1424"/>
      <c r="G2" s="1424"/>
      <c r="H2" s="1424"/>
      <c r="I2" s="1424"/>
      <c r="J2" s="1424"/>
      <c r="K2" s="1424"/>
      <c r="L2" s="1424"/>
      <c r="M2" s="1051"/>
      <c r="N2" s="1052"/>
      <c r="O2" s="1052"/>
      <c r="P2" s="1245" t="str">
        <f>IF('Manuell filtrering og justering'!H2='Manuell filtrering og justering'!I2,"Bespoke","")</f>
        <v/>
      </c>
    </row>
    <row r="3" spans="1:18" ht="15" customHeight="1" x14ac:dyDescent="0.25">
      <c r="B3" s="1053"/>
      <c r="C3" s="1054"/>
      <c r="D3" s="1054"/>
      <c r="E3" s="1054"/>
      <c r="F3" s="1054"/>
      <c r="G3" s="1054"/>
      <c r="H3" s="1054"/>
      <c r="I3" s="1054"/>
      <c r="J3" s="1054"/>
      <c r="K3" s="1054"/>
      <c r="L3" s="1054"/>
      <c r="M3" s="3"/>
      <c r="N3" s="3"/>
      <c r="O3" s="3"/>
      <c r="P3" s="1055"/>
    </row>
    <row r="4" spans="1:18" ht="15" customHeight="1" x14ac:dyDescent="0.25">
      <c r="B4" s="1056" t="s">
        <v>2</v>
      </c>
      <c r="C4" s="1057" t="s">
        <v>6</v>
      </c>
      <c r="D4" s="1425" t="s">
        <v>7</v>
      </c>
      <c r="E4" s="1426"/>
      <c r="F4" s="1426"/>
      <c r="G4" s="1426"/>
      <c r="H4" s="1426"/>
      <c r="I4" s="1426"/>
      <c r="J4" s="1426"/>
      <c r="K4" s="1426"/>
      <c r="L4" s="1426"/>
      <c r="M4" s="1426"/>
      <c r="N4" s="1426"/>
      <c r="O4" s="1426"/>
      <c r="P4" s="1427"/>
    </row>
    <row r="5" spans="1:18" ht="62.25" customHeight="1" x14ac:dyDescent="0.25">
      <c r="B5" s="1072" t="s">
        <v>1294</v>
      </c>
      <c r="C5" s="1059">
        <v>43782</v>
      </c>
      <c r="D5" s="1420" t="s">
        <v>1295</v>
      </c>
      <c r="E5" s="1421"/>
      <c r="F5" s="1421"/>
      <c r="G5" s="1421"/>
      <c r="H5" s="1421"/>
      <c r="I5" s="1421"/>
      <c r="J5" s="1421"/>
      <c r="K5" s="1421"/>
      <c r="L5" s="1421"/>
      <c r="M5" s="1421"/>
      <c r="N5" s="1421"/>
      <c r="O5" s="1421"/>
      <c r="P5" s="1422"/>
    </row>
    <row r="6" spans="1:18" ht="18.75" customHeight="1" x14ac:dyDescent="0.25">
      <c r="A6" s="3"/>
      <c r="B6" s="1060"/>
      <c r="C6" s="1061"/>
      <c r="D6" s="1062"/>
      <c r="E6" s="1062"/>
      <c r="F6" s="1062"/>
      <c r="G6" s="1062"/>
      <c r="H6" s="1062"/>
      <c r="I6" s="1062"/>
      <c r="J6" s="1062"/>
      <c r="K6" s="1062"/>
      <c r="L6" s="1062"/>
      <c r="M6" s="1062"/>
      <c r="N6" s="984"/>
      <c r="O6" s="984"/>
      <c r="P6" s="984"/>
      <c r="Q6" s="3"/>
      <c r="R6" s="3"/>
    </row>
    <row r="7" spans="1:18" ht="15.75" x14ac:dyDescent="0.25">
      <c r="B7" s="1063" t="s">
        <v>3</v>
      </c>
      <c r="C7" s="1064" t="s">
        <v>6</v>
      </c>
      <c r="D7" s="1065" t="s">
        <v>7</v>
      </c>
      <c r="E7" s="1066"/>
      <c r="F7" s="1066"/>
      <c r="G7" s="1066"/>
      <c r="H7" s="1066"/>
      <c r="I7" s="1066"/>
      <c r="J7" s="1066"/>
      <c r="K7" s="1066"/>
      <c r="L7" s="1066"/>
      <c r="M7" s="1066"/>
      <c r="N7" s="1066"/>
      <c r="O7" s="1066"/>
      <c r="P7" s="1067"/>
    </row>
    <row r="8" spans="1:18" ht="81" customHeight="1" x14ac:dyDescent="0.25">
      <c r="B8" s="1072" t="s">
        <v>1256</v>
      </c>
      <c r="C8" s="1059">
        <v>43371</v>
      </c>
      <c r="D8" s="1420" t="s">
        <v>1257</v>
      </c>
      <c r="E8" s="1421"/>
      <c r="F8" s="1421"/>
      <c r="G8" s="1421"/>
      <c r="H8" s="1421"/>
      <c r="I8" s="1421"/>
      <c r="J8" s="1421"/>
      <c r="K8" s="1421"/>
      <c r="L8" s="1421"/>
      <c r="M8" s="1421"/>
      <c r="N8" s="1421"/>
      <c r="O8" s="1421"/>
      <c r="P8" s="1422"/>
    </row>
    <row r="9" spans="1:18" ht="51" customHeight="1" x14ac:dyDescent="0.25">
      <c r="B9" s="1058" t="s">
        <v>1242</v>
      </c>
      <c r="C9" s="1059">
        <v>43125</v>
      </c>
      <c r="D9" s="1410" t="s">
        <v>1255</v>
      </c>
      <c r="E9" s="1411"/>
      <c r="F9" s="1411"/>
      <c r="G9" s="1411"/>
      <c r="H9" s="1411"/>
      <c r="I9" s="1411"/>
      <c r="J9" s="1411"/>
      <c r="K9" s="1411"/>
      <c r="L9" s="1411"/>
      <c r="M9" s="1411"/>
      <c r="N9" s="1411"/>
      <c r="O9" s="1411"/>
      <c r="P9" s="1412"/>
    </row>
    <row r="10" spans="1:18" ht="52.5" customHeight="1" x14ac:dyDescent="0.25">
      <c r="B10" s="1058" t="s">
        <v>1220</v>
      </c>
      <c r="C10" s="1059">
        <v>43117</v>
      </c>
      <c r="D10" s="1410" t="s">
        <v>1229</v>
      </c>
      <c r="E10" s="1411"/>
      <c r="F10" s="1411"/>
      <c r="G10" s="1411"/>
      <c r="H10" s="1411"/>
      <c r="I10" s="1411"/>
      <c r="J10" s="1411"/>
      <c r="K10" s="1411"/>
      <c r="L10" s="1411"/>
      <c r="M10" s="1411"/>
      <c r="N10" s="1411"/>
      <c r="O10" s="1411"/>
      <c r="P10" s="1412"/>
    </row>
    <row r="11" spans="1:18" ht="36.75" customHeight="1" x14ac:dyDescent="0.25">
      <c r="B11" s="1068" t="s">
        <v>1218</v>
      </c>
      <c r="C11" s="1069">
        <v>43087</v>
      </c>
      <c r="D11" s="1410" t="s">
        <v>1223</v>
      </c>
      <c r="E11" s="1411"/>
      <c r="F11" s="1411"/>
      <c r="G11" s="1411"/>
      <c r="H11" s="1411"/>
      <c r="I11" s="1411"/>
      <c r="J11" s="1411"/>
      <c r="K11" s="1411"/>
      <c r="L11" s="1411"/>
      <c r="M11" s="1411"/>
      <c r="N11" s="1411"/>
      <c r="O11" s="1411"/>
      <c r="P11" s="1412"/>
    </row>
    <row r="12" spans="1:18" ht="57.75" customHeight="1" x14ac:dyDescent="0.25">
      <c r="B12" s="1070" t="s">
        <v>1210</v>
      </c>
      <c r="C12" s="1071">
        <v>42968</v>
      </c>
      <c r="D12" s="1428" t="s">
        <v>1230</v>
      </c>
      <c r="E12" s="1414"/>
      <c r="F12" s="1414"/>
      <c r="G12" s="1414"/>
      <c r="H12" s="1414"/>
      <c r="I12" s="1414"/>
      <c r="J12" s="1414"/>
      <c r="K12" s="1414"/>
      <c r="L12" s="1414"/>
      <c r="M12" s="1414"/>
      <c r="N12" s="1414"/>
      <c r="O12" s="1414"/>
      <c r="P12" s="1414"/>
    </row>
    <row r="13" spans="1:18" ht="51.75" customHeight="1" x14ac:dyDescent="0.25">
      <c r="B13" s="1058" t="s">
        <v>1154</v>
      </c>
      <c r="C13" s="1059">
        <v>42825</v>
      </c>
      <c r="D13" s="1419" t="s">
        <v>1211</v>
      </c>
      <c r="E13" s="1419"/>
      <c r="F13" s="1419"/>
      <c r="G13" s="1419"/>
      <c r="H13" s="1419"/>
      <c r="I13" s="1419"/>
      <c r="J13" s="1419"/>
      <c r="K13" s="1419"/>
      <c r="L13" s="1419"/>
      <c r="M13" s="1419"/>
      <c r="N13" s="1419"/>
      <c r="O13" s="1419"/>
      <c r="P13" s="1419"/>
    </row>
    <row r="14" spans="1:18" ht="111.75" customHeight="1" x14ac:dyDescent="0.25">
      <c r="B14" s="1058" t="s">
        <v>1153</v>
      </c>
      <c r="C14" s="1059">
        <v>42710</v>
      </c>
      <c r="D14" s="1419" t="s">
        <v>1212</v>
      </c>
      <c r="E14" s="1419"/>
      <c r="F14" s="1419"/>
      <c r="G14" s="1419"/>
      <c r="H14" s="1419"/>
      <c r="I14" s="1419"/>
      <c r="J14" s="1419"/>
      <c r="K14" s="1419"/>
      <c r="L14" s="1419"/>
      <c r="M14" s="1419"/>
      <c r="N14" s="1419"/>
      <c r="O14" s="1419"/>
      <c r="P14" s="1419"/>
    </row>
    <row r="15" spans="1:18" ht="95.25" customHeight="1" x14ac:dyDescent="0.25">
      <c r="B15" s="1058" t="s">
        <v>1150</v>
      </c>
      <c r="C15" s="1059">
        <v>42692</v>
      </c>
      <c r="D15" s="1419" t="s">
        <v>1217</v>
      </c>
      <c r="E15" s="1419"/>
      <c r="F15" s="1419"/>
      <c r="G15" s="1419"/>
      <c r="H15" s="1419"/>
      <c r="I15" s="1419"/>
      <c r="J15" s="1419"/>
      <c r="K15" s="1419"/>
      <c r="L15" s="1419"/>
      <c r="M15" s="1419"/>
      <c r="N15" s="1419"/>
      <c r="O15" s="1419"/>
      <c r="P15" s="1419"/>
    </row>
    <row r="16" spans="1:18" ht="15.75" customHeight="1" x14ac:dyDescent="0.25">
      <c r="B16" s="1072" t="s">
        <v>1142</v>
      </c>
      <c r="C16" s="1059">
        <v>42677</v>
      </c>
      <c r="D16" s="1415" t="s">
        <v>1143</v>
      </c>
      <c r="E16" s="1416"/>
      <c r="F16" s="1416"/>
      <c r="G16" s="1416"/>
      <c r="H16" s="1416"/>
      <c r="I16" s="1416"/>
      <c r="J16" s="1416"/>
      <c r="K16" s="1416"/>
      <c r="L16" s="1416"/>
      <c r="M16" s="1416"/>
      <c r="N16" s="1416"/>
      <c r="O16" s="1416"/>
      <c r="P16" s="1416"/>
    </row>
    <row r="17" spans="2:16" x14ac:dyDescent="0.25">
      <c r="B17" s="1070" t="s">
        <v>989</v>
      </c>
      <c r="C17" s="1071">
        <v>42613</v>
      </c>
      <c r="D17" s="1413" t="s">
        <v>990</v>
      </c>
      <c r="E17" s="1414"/>
      <c r="F17" s="1414"/>
      <c r="G17" s="1414"/>
      <c r="H17" s="1414"/>
      <c r="I17" s="1414"/>
      <c r="J17" s="1414"/>
      <c r="K17" s="1414"/>
      <c r="L17" s="1414"/>
      <c r="M17" s="1414"/>
      <c r="N17" s="1414"/>
      <c r="O17" s="1414"/>
      <c r="P17" s="1414"/>
    </row>
    <row r="18" spans="2:16" x14ac:dyDescent="0.25">
      <c r="B18" s="1068"/>
      <c r="C18" s="1069"/>
      <c r="D18" s="1410"/>
      <c r="E18" s="1411"/>
      <c r="F18" s="1411"/>
      <c r="G18" s="1411"/>
      <c r="H18" s="1411"/>
      <c r="I18" s="1411"/>
      <c r="J18" s="1411"/>
      <c r="K18" s="1411"/>
      <c r="L18" s="1411"/>
      <c r="M18" s="1411"/>
      <c r="N18" s="1411"/>
      <c r="O18" s="1411"/>
      <c r="P18" s="1412"/>
    </row>
    <row r="19" spans="2:16" ht="13.5" customHeight="1" x14ac:dyDescent="0.25">
      <c r="B19" s="3"/>
      <c r="C19" s="3"/>
      <c r="D19" s="3"/>
      <c r="E19" s="3"/>
      <c r="F19" s="3"/>
      <c r="G19" s="3"/>
      <c r="H19" s="3"/>
      <c r="I19" s="3"/>
      <c r="J19" s="3"/>
      <c r="K19" s="3"/>
      <c r="L19" s="3"/>
      <c r="M19" s="3"/>
      <c r="N19" s="3"/>
      <c r="O19" s="3"/>
      <c r="P19" s="3"/>
    </row>
    <row r="20" spans="2:16" x14ac:dyDescent="0.25">
      <c r="B20" s="3"/>
      <c r="C20" s="3"/>
      <c r="D20" s="3"/>
      <c r="E20" s="3"/>
      <c r="F20" s="3"/>
      <c r="G20" s="3"/>
      <c r="H20" s="3"/>
      <c r="I20" s="3"/>
      <c r="J20" s="3"/>
      <c r="K20" s="3"/>
      <c r="L20" s="3"/>
      <c r="M20" s="3"/>
      <c r="N20" s="3"/>
      <c r="O20" s="3"/>
      <c r="P20" s="3"/>
    </row>
    <row r="21" spans="2:16" x14ac:dyDescent="0.25">
      <c r="B21" s="3"/>
      <c r="C21" s="3"/>
      <c r="D21" s="3"/>
      <c r="E21" s="3"/>
      <c r="F21" s="3"/>
      <c r="G21" s="3"/>
      <c r="H21" s="3"/>
      <c r="I21" s="3"/>
      <c r="J21" s="3"/>
      <c r="K21" s="3"/>
      <c r="L21" s="3"/>
      <c r="M21" s="3"/>
      <c r="N21" s="3"/>
      <c r="O21" s="3"/>
      <c r="P21" s="3"/>
    </row>
    <row r="22" spans="2:16" x14ac:dyDescent="0.25">
      <c r="B22" s="3"/>
      <c r="C22" s="3"/>
      <c r="D22" s="3"/>
      <c r="E22" s="3"/>
      <c r="F22" s="3"/>
      <c r="G22" s="3"/>
      <c r="H22" s="3"/>
      <c r="I22" s="3"/>
      <c r="J22" s="3"/>
      <c r="K22" s="3"/>
      <c r="L22" s="3"/>
      <c r="M22" s="3"/>
      <c r="N22" s="3"/>
      <c r="O22" s="3"/>
      <c r="P22" s="3"/>
    </row>
    <row r="23" spans="2:16" x14ac:dyDescent="0.25">
      <c r="B23" s="3"/>
      <c r="C23" s="3"/>
      <c r="D23" s="3"/>
      <c r="E23" s="3"/>
      <c r="F23" s="3"/>
      <c r="G23" s="3"/>
      <c r="H23" s="3"/>
      <c r="I23" s="3"/>
      <c r="J23" s="3"/>
      <c r="K23" s="3"/>
      <c r="L23" s="3"/>
      <c r="M23" s="3"/>
      <c r="N23" s="3"/>
      <c r="O23" s="3"/>
      <c r="P23" s="3"/>
    </row>
    <row r="24" spans="2:16" x14ac:dyDescent="0.25">
      <c r="B24" s="3"/>
      <c r="C24" s="3"/>
      <c r="D24" s="3"/>
      <c r="E24" s="3"/>
      <c r="F24" s="3"/>
      <c r="G24" s="3"/>
      <c r="H24" s="3"/>
      <c r="I24" s="3"/>
      <c r="J24" s="3"/>
      <c r="K24" s="3"/>
      <c r="L24" s="3"/>
      <c r="M24" s="3"/>
      <c r="N24" s="3"/>
      <c r="O24" s="3"/>
      <c r="P24" s="3"/>
    </row>
    <row r="25" spans="2:16" x14ac:dyDescent="0.25">
      <c r="B25" s="3"/>
      <c r="C25" s="3"/>
      <c r="D25" s="3"/>
      <c r="E25" s="3"/>
      <c r="F25" s="3"/>
      <c r="G25" s="3"/>
      <c r="H25" s="3"/>
      <c r="I25" s="3"/>
      <c r="J25" s="3"/>
      <c r="K25" s="3"/>
      <c r="L25" s="3"/>
      <c r="M25" s="3"/>
      <c r="N25" s="3"/>
      <c r="O25" s="3"/>
      <c r="P25" s="3"/>
    </row>
    <row r="26" spans="2:16" x14ac:dyDescent="0.25">
      <c r="B26" s="3"/>
      <c r="C26" s="3"/>
      <c r="D26" s="3"/>
      <c r="E26" s="3"/>
      <c r="F26" s="3"/>
      <c r="G26" s="3"/>
      <c r="H26" s="3"/>
      <c r="I26" s="3"/>
      <c r="J26" s="3"/>
      <c r="K26" s="3"/>
      <c r="L26" s="3"/>
      <c r="M26" s="3"/>
      <c r="N26" s="3"/>
      <c r="O26" s="3"/>
      <c r="P26" s="3"/>
    </row>
    <row r="27" spans="2:16" x14ac:dyDescent="0.25">
      <c r="B27" s="3"/>
      <c r="C27" s="3"/>
      <c r="D27" s="3"/>
      <c r="E27" s="3"/>
      <c r="F27" s="3"/>
      <c r="G27" s="3"/>
      <c r="H27" s="3"/>
      <c r="I27" s="3"/>
      <c r="J27" s="3"/>
      <c r="K27" s="3"/>
      <c r="L27" s="3"/>
      <c r="M27" s="3"/>
      <c r="N27" s="3"/>
      <c r="O27" s="3"/>
      <c r="P27" s="3"/>
    </row>
    <row r="28" spans="2:16" x14ac:dyDescent="0.25">
      <c r="B28" s="3"/>
      <c r="C28" s="3"/>
      <c r="D28" s="3"/>
      <c r="E28" s="3"/>
      <c r="F28" s="3"/>
      <c r="G28" s="3"/>
      <c r="H28" s="3"/>
      <c r="I28" s="3"/>
      <c r="J28" s="3"/>
      <c r="K28" s="3"/>
      <c r="L28" s="3"/>
      <c r="M28" s="3"/>
      <c r="N28" s="3"/>
      <c r="O28" s="3"/>
      <c r="P28" s="3"/>
    </row>
    <row r="29" spans="2:16" x14ac:dyDescent="0.25">
      <c r="B29" s="3"/>
      <c r="C29" s="3"/>
      <c r="D29" s="3"/>
      <c r="E29" s="3"/>
      <c r="F29" s="3"/>
      <c r="G29" s="3"/>
      <c r="H29" s="3"/>
      <c r="I29" s="3"/>
      <c r="J29" s="3"/>
      <c r="K29" s="3"/>
      <c r="L29" s="3"/>
      <c r="M29" s="3"/>
      <c r="N29" s="3"/>
      <c r="O29" s="3"/>
      <c r="P29" s="3"/>
    </row>
    <row r="30" spans="2:16" x14ac:dyDescent="0.25">
      <c r="B30" s="3"/>
      <c r="C30" s="3"/>
      <c r="D30" s="3"/>
      <c r="E30" s="3"/>
      <c r="F30" s="3"/>
      <c r="G30" s="3"/>
      <c r="H30" s="3"/>
      <c r="I30" s="3"/>
      <c r="J30" s="3"/>
      <c r="K30" s="3"/>
      <c r="L30" s="3"/>
      <c r="M30" s="3"/>
      <c r="N30" s="3"/>
      <c r="O30" s="3"/>
      <c r="P30" s="3"/>
    </row>
    <row r="31" spans="2:16" x14ac:dyDescent="0.25">
      <c r="B31" s="3"/>
      <c r="C31" s="3"/>
      <c r="D31" s="3"/>
      <c r="E31" s="3"/>
      <c r="F31" s="3"/>
      <c r="G31" s="3"/>
      <c r="H31" s="3"/>
      <c r="I31" s="3"/>
      <c r="J31" s="3"/>
      <c r="K31" s="3"/>
      <c r="L31" s="3"/>
      <c r="M31" s="3"/>
      <c r="N31" s="3"/>
      <c r="O31" s="3"/>
      <c r="P31" s="3"/>
    </row>
    <row r="32" spans="2:16" x14ac:dyDescent="0.25">
      <c r="B32" s="3"/>
      <c r="C32" s="3"/>
      <c r="D32" s="3"/>
      <c r="E32" s="3"/>
      <c r="F32" s="3"/>
      <c r="G32" s="3"/>
      <c r="H32" s="3"/>
      <c r="I32" s="3"/>
      <c r="J32" s="3"/>
      <c r="K32" s="3"/>
      <c r="L32" s="3"/>
      <c r="M32" s="3"/>
      <c r="N32" s="3"/>
      <c r="O32" s="3"/>
      <c r="P32" s="3"/>
    </row>
    <row r="33" spans="2:16" x14ac:dyDescent="0.25">
      <c r="B33" s="3"/>
      <c r="C33" s="3"/>
      <c r="D33" s="3"/>
      <c r="E33" s="3"/>
      <c r="F33" s="3"/>
      <c r="G33" s="3"/>
      <c r="H33" s="3"/>
      <c r="I33" s="3"/>
      <c r="J33" s="3"/>
      <c r="K33" s="3"/>
      <c r="L33" s="3"/>
      <c r="M33" s="3"/>
      <c r="N33" s="3"/>
      <c r="O33" s="3"/>
      <c r="P33" s="3"/>
    </row>
    <row r="34" spans="2:16" x14ac:dyDescent="0.25">
      <c r="B34" s="3"/>
      <c r="C34" s="3"/>
      <c r="D34" s="3"/>
      <c r="E34" s="3"/>
      <c r="F34" s="3"/>
      <c r="G34" s="3"/>
      <c r="H34" s="3"/>
      <c r="I34" s="3"/>
      <c r="J34" s="3"/>
      <c r="K34" s="3"/>
      <c r="L34" s="3"/>
      <c r="M34" s="3"/>
      <c r="N34" s="3"/>
      <c r="O34" s="3"/>
      <c r="P34" s="3"/>
    </row>
    <row r="35" spans="2:16" x14ac:dyDescent="0.25">
      <c r="B35" s="3"/>
      <c r="C35" s="3"/>
      <c r="D35" s="3"/>
      <c r="E35" s="3"/>
      <c r="F35" s="3"/>
      <c r="G35" s="3"/>
      <c r="H35" s="3"/>
      <c r="I35" s="3"/>
      <c r="J35" s="3"/>
      <c r="K35" s="3"/>
      <c r="L35" s="3"/>
      <c r="M35" s="3"/>
      <c r="N35" s="3"/>
      <c r="O35" s="3"/>
      <c r="P35" s="3"/>
    </row>
    <row r="36" spans="2:16" x14ac:dyDescent="0.25">
      <c r="B36" s="3"/>
      <c r="C36" s="3"/>
      <c r="D36" s="3"/>
      <c r="E36" s="3"/>
      <c r="F36" s="3"/>
      <c r="G36" s="3"/>
      <c r="H36" s="3"/>
      <c r="I36" s="3"/>
      <c r="J36" s="3"/>
      <c r="K36" s="3"/>
      <c r="L36" s="3"/>
      <c r="M36" s="3"/>
      <c r="N36" s="3"/>
      <c r="O36" s="3"/>
      <c r="P36" s="3"/>
    </row>
    <row r="37" spans="2:16" x14ac:dyDescent="0.25">
      <c r="B37" s="3"/>
      <c r="C37" s="3"/>
      <c r="D37" s="3"/>
      <c r="E37" s="3"/>
      <c r="F37" s="3"/>
      <c r="G37" s="3"/>
      <c r="H37" s="3"/>
      <c r="I37" s="3"/>
      <c r="J37" s="3"/>
      <c r="K37" s="3"/>
      <c r="L37" s="3"/>
      <c r="M37" s="3"/>
      <c r="N37" s="3"/>
      <c r="O37" s="3"/>
      <c r="P37" s="3"/>
    </row>
    <row r="38" spans="2:16" x14ac:dyDescent="0.25">
      <c r="B38" s="3"/>
      <c r="C38" s="3"/>
      <c r="D38" s="3"/>
      <c r="E38" s="3"/>
      <c r="F38" s="3"/>
      <c r="G38" s="3"/>
      <c r="H38" s="3"/>
      <c r="I38" s="3"/>
      <c r="J38" s="3"/>
      <c r="K38" s="3"/>
      <c r="L38" s="3"/>
      <c r="M38" s="3"/>
      <c r="N38" s="3"/>
      <c r="O38" s="3"/>
      <c r="P38" s="3"/>
    </row>
    <row r="39" spans="2:16" x14ac:dyDescent="0.25">
      <c r="B39" s="3"/>
      <c r="C39" s="3"/>
      <c r="D39" s="3"/>
      <c r="E39" s="3"/>
      <c r="F39" s="3"/>
      <c r="G39" s="3"/>
      <c r="H39" s="3"/>
      <c r="I39" s="3"/>
      <c r="J39" s="3"/>
      <c r="K39" s="3"/>
      <c r="L39" s="3"/>
      <c r="M39" s="3"/>
      <c r="N39" s="3"/>
      <c r="O39" s="3"/>
      <c r="P39" s="3"/>
    </row>
    <row r="40" spans="2:16" x14ac:dyDescent="0.25">
      <c r="B40" s="3"/>
      <c r="C40" s="3"/>
      <c r="D40" s="3"/>
      <c r="E40" s="3"/>
      <c r="F40" s="3"/>
      <c r="G40" s="3"/>
      <c r="H40" s="3"/>
      <c r="I40" s="3"/>
      <c r="J40" s="3"/>
      <c r="K40" s="3"/>
      <c r="L40" s="3"/>
      <c r="M40" s="3"/>
      <c r="N40" s="3"/>
      <c r="O40" s="3"/>
      <c r="P40" s="3"/>
    </row>
    <row r="41" spans="2:16" x14ac:dyDescent="0.25">
      <c r="B41" s="3"/>
      <c r="C41" s="3"/>
      <c r="D41" s="3"/>
      <c r="E41" s="3"/>
      <c r="F41" s="3"/>
      <c r="G41" s="3"/>
      <c r="H41" s="3"/>
      <c r="I41" s="3"/>
      <c r="J41" s="3"/>
      <c r="K41" s="3"/>
      <c r="L41" s="3"/>
      <c r="M41" s="3"/>
      <c r="N41" s="3"/>
      <c r="O41" s="3"/>
      <c r="P41" s="3"/>
    </row>
    <row r="42" spans="2:16" x14ac:dyDescent="0.25">
      <c r="B42" s="3"/>
      <c r="C42" s="3"/>
      <c r="D42" s="3"/>
      <c r="E42" s="3"/>
      <c r="F42" s="3"/>
      <c r="G42" s="3"/>
      <c r="H42" s="3"/>
      <c r="I42" s="3"/>
      <c r="J42" s="3"/>
      <c r="K42" s="3"/>
      <c r="L42" s="3"/>
      <c r="M42" s="3"/>
      <c r="N42" s="3"/>
      <c r="O42" s="3"/>
      <c r="P42" s="3"/>
    </row>
    <row r="43" spans="2:16" x14ac:dyDescent="0.25">
      <c r="B43" s="3"/>
      <c r="C43" s="3"/>
      <c r="D43" s="3"/>
      <c r="E43" s="3"/>
      <c r="F43" s="3"/>
      <c r="G43" s="3"/>
      <c r="H43" s="3"/>
      <c r="I43" s="3"/>
      <c r="J43" s="3"/>
      <c r="K43" s="3"/>
      <c r="L43" s="3"/>
      <c r="M43" s="3"/>
      <c r="N43" s="3"/>
      <c r="O43" s="3"/>
      <c r="P43" s="3"/>
    </row>
    <row r="44" spans="2:16" x14ac:dyDescent="0.25">
      <c r="B44" s="3"/>
      <c r="C44" s="3"/>
      <c r="D44" s="3"/>
      <c r="E44" s="3"/>
      <c r="F44" s="3"/>
      <c r="G44" s="3"/>
      <c r="H44" s="3"/>
      <c r="I44" s="3"/>
      <c r="J44" s="3"/>
      <c r="K44" s="3"/>
      <c r="L44" s="3"/>
      <c r="M44" s="3"/>
      <c r="N44" s="3"/>
      <c r="O44" s="3"/>
      <c r="P44" s="3"/>
    </row>
    <row r="45" spans="2:16" x14ac:dyDescent="0.25">
      <c r="B45" s="3"/>
      <c r="C45" s="3"/>
      <c r="D45" s="3"/>
      <c r="E45" s="3"/>
      <c r="F45" s="3"/>
      <c r="G45" s="3"/>
      <c r="H45" s="3"/>
      <c r="I45" s="3"/>
      <c r="J45" s="3"/>
      <c r="K45" s="3"/>
      <c r="L45" s="3"/>
      <c r="M45" s="3"/>
      <c r="N45" s="3"/>
      <c r="O45" s="3"/>
      <c r="P45" s="3"/>
    </row>
    <row r="46" spans="2:16" x14ac:dyDescent="0.25">
      <c r="B46" s="3"/>
      <c r="C46" s="3"/>
      <c r="D46" s="3"/>
      <c r="E46" s="3"/>
      <c r="F46" s="3"/>
      <c r="G46" s="3"/>
      <c r="H46" s="3"/>
      <c r="I46" s="3"/>
      <c r="J46" s="3"/>
      <c r="K46" s="3"/>
      <c r="L46" s="3"/>
      <c r="M46" s="3"/>
      <c r="N46" s="3"/>
      <c r="O46" s="3"/>
      <c r="P46" s="3"/>
    </row>
    <row r="47" spans="2:16" x14ac:dyDescent="0.25">
      <c r="B47" s="3"/>
      <c r="C47" s="3"/>
      <c r="D47" s="3"/>
      <c r="E47" s="3"/>
      <c r="F47" s="3"/>
      <c r="G47" s="3"/>
      <c r="H47" s="3"/>
      <c r="I47" s="3"/>
      <c r="J47" s="3"/>
      <c r="K47" s="3"/>
      <c r="L47" s="3"/>
      <c r="M47" s="3"/>
      <c r="N47" s="3"/>
      <c r="O47" s="3"/>
      <c r="P47" s="3"/>
    </row>
    <row r="48" spans="2:16" x14ac:dyDescent="0.25">
      <c r="B48" s="3"/>
      <c r="C48" s="3"/>
      <c r="D48" s="3"/>
      <c r="E48" s="3"/>
      <c r="F48" s="3"/>
      <c r="G48" s="3"/>
      <c r="H48" s="3"/>
      <c r="I48" s="3"/>
      <c r="J48" s="3"/>
      <c r="K48" s="3"/>
      <c r="L48" s="3"/>
      <c r="M48" s="3"/>
      <c r="N48" s="3"/>
      <c r="O48" s="3"/>
      <c r="P48" s="3"/>
    </row>
    <row r="49" spans="2:16" x14ac:dyDescent="0.25">
      <c r="B49" s="3"/>
      <c r="C49" s="3"/>
      <c r="D49" s="3"/>
      <c r="E49" s="3"/>
      <c r="F49" s="3"/>
      <c r="G49" s="3"/>
      <c r="H49" s="3"/>
      <c r="I49" s="3"/>
      <c r="J49" s="3"/>
      <c r="K49" s="3"/>
      <c r="L49" s="3"/>
      <c r="M49" s="3"/>
      <c r="N49" s="3"/>
      <c r="O49" s="3"/>
      <c r="P49" s="3"/>
    </row>
    <row r="50" spans="2:16" x14ac:dyDescent="0.25">
      <c r="B50" s="3"/>
      <c r="C50" s="3"/>
      <c r="D50" s="3"/>
      <c r="E50" s="3"/>
      <c r="F50" s="3"/>
      <c r="G50" s="3"/>
      <c r="H50" s="3"/>
      <c r="I50" s="3"/>
      <c r="J50" s="3"/>
      <c r="K50" s="3"/>
      <c r="L50" s="3"/>
      <c r="M50" s="3"/>
      <c r="N50" s="3"/>
      <c r="O50" s="3"/>
      <c r="P50" s="3"/>
    </row>
    <row r="51" spans="2:16" x14ac:dyDescent="0.25">
      <c r="B51" s="3"/>
      <c r="C51" s="3"/>
      <c r="D51" s="3"/>
      <c r="E51" s="3"/>
      <c r="F51" s="3"/>
      <c r="G51" s="3"/>
      <c r="H51" s="3"/>
      <c r="I51" s="3"/>
      <c r="J51" s="3"/>
      <c r="K51" s="3"/>
      <c r="L51" s="3"/>
      <c r="M51" s="3"/>
      <c r="N51" s="3"/>
      <c r="O51" s="3"/>
      <c r="P51" s="3"/>
    </row>
    <row r="52" spans="2:16" x14ac:dyDescent="0.25">
      <c r="B52" s="3"/>
      <c r="C52" s="3"/>
      <c r="D52" s="3"/>
      <c r="E52" s="3"/>
      <c r="F52" s="3"/>
      <c r="G52" s="3"/>
      <c r="H52" s="3"/>
      <c r="I52" s="3"/>
      <c r="J52" s="3"/>
      <c r="K52" s="3"/>
      <c r="L52" s="3"/>
      <c r="M52" s="3"/>
      <c r="N52" s="3"/>
      <c r="O52" s="3"/>
      <c r="P52" s="3"/>
    </row>
    <row r="53" spans="2:16" x14ac:dyDescent="0.25">
      <c r="B53" s="3"/>
      <c r="C53" s="3"/>
      <c r="D53" s="3"/>
      <c r="E53" s="3"/>
      <c r="F53" s="3"/>
      <c r="G53" s="3"/>
      <c r="H53" s="3"/>
      <c r="I53" s="3"/>
      <c r="J53" s="3"/>
      <c r="K53" s="3"/>
      <c r="L53" s="3"/>
      <c r="M53" s="3"/>
      <c r="N53" s="3"/>
      <c r="O53" s="3"/>
      <c r="P53" s="3"/>
    </row>
    <row r="54" spans="2:16" x14ac:dyDescent="0.25">
      <c r="B54" s="3"/>
      <c r="C54" s="3"/>
      <c r="D54" s="3"/>
      <c r="E54" s="3"/>
      <c r="F54" s="3"/>
      <c r="G54" s="3"/>
      <c r="H54" s="3"/>
      <c r="I54" s="3"/>
      <c r="J54" s="3"/>
      <c r="K54" s="3"/>
      <c r="L54" s="3"/>
      <c r="M54" s="3"/>
      <c r="N54" s="3"/>
      <c r="O54" s="3"/>
      <c r="P54" s="3"/>
    </row>
    <row r="55" spans="2:16" x14ac:dyDescent="0.25">
      <c r="B55" s="3"/>
      <c r="C55" s="3"/>
      <c r="D55" s="3"/>
      <c r="E55" s="3"/>
      <c r="F55" s="3"/>
      <c r="G55" s="3"/>
      <c r="H55" s="3"/>
      <c r="I55" s="3"/>
      <c r="J55" s="3"/>
      <c r="K55" s="3"/>
      <c r="L55" s="3"/>
      <c r="M55" s="3"/>
      <c r="N55" s="3"/>
      <c r="O55" s="3"/>
      <c r="P55" s="3"/>
    </row>
    <row r="56" spans="2:16" x14ac:dyDescent="0.25">
      <c r="B56" s="3"/>
      <c r="C56" s="3"/>
      <c r="D56" s="3"/>
      <c r="E56" s="3"/>
      <c r="F56" s="3"/>
      <c r="G56" s="3"/>
      <c r="H56" s="3"/>
      <c r="I56" s="3"/>
      <c r="J56" s="3"/>
      <c r="K56" s="3"/>
      <c r="L56" s="3"/>
      <c r="M56" s="3"/>
      <c r="N56" s="3"/>
      <c r="O56" s="3"/>
      <c r="P56" s="3"/>
    </row>
    <row r="57" spans="2:16" x14ac:dyDescent="0.25">
      <c r="B57" s="3"/>
      <c r="C57" s="3"/>
      <c r="D57" s="3"/>
      <c r="E57" s="3"/>
      <c r="F57" s="3"/>
      <c r="G57" s="3"/>
      <c r="H57" s="3"/>
      <c r="I57" s="3"/>
      <c r="J57" s="3"/>
      <c r="K57" s="3"/>
      <c r="L57" s="3"/>
      <c r="M57" s="3"/>
      <c r="N57" s="3"/>
      <c r="O57" s="3"/>
      <c r="P57" s="3"/>
    </row>
    <row r="58" spans="2:16" x14ac:dyDescent="0.25">
      <c r="B58" s="3"/>
      <c r="C58" s="3"/>
      <c r="D58" s="3"/>
      <c r="E58" s="3"/>
      <c r="F58" s="3"/>
      <c r="G58" s="3"/>
      <c r="H58" s="3"/>
      <c r="I58" s="3"/>
      <c r="J58" s="3"/>
      <c r="K58" s="3"/>
      <c r="L58" s="3"/>
      <c r="M58" s="3"/>
      <c r="N58" s="3"/>
      <c r="O58" s="3"/>
      <c r="P58" s="3"/>
    </row>
    <row r="59" spans="2:16" x14ac:dyDescent="0.25">
      <c r="B59" s="3"/>
      <c r="C59" s="3"/>
      <c r="D59" s="3"/>
      <c r="E59" s="3"/>
      <c r="F59" s="3"/>
      <c r="G59" s="3"/>
      <c r="H59" s="3"/>
      <c r="I59" s="3"/>
      <c r="J59" s="3"/>
      <c r="K59" s="3"/>
      <c r="L59" s="3"/>
      <c r="M59" s="3"/>
      <c r="N59" s="3"/>
      <c r="O59" s="3"/>
      <c r="P59" s="3"/>
    </row>
    <row r="60" spans="2:16" x14ac:dyDescent="0.25">
      <c r="B60" s="3"/>
      <c r="C60" s="3"/>
      <c r="D60" s="3"/>
      <c r="E60" s="3"/>
      <c r="F60" s="3"/>
      <c r="G60" s="3"/>
      <c r="H60" s="3"/>
      <c r="I60" s="3"/>
      <c r="J60" s="3"/>
      <c r="K60" s="3"/>
      <c r="L60" s="3"/>
      <c r="M60" s="3"/>
      <c r="N60" s="3"/>
      <c r="O60" s="3"/>
      <c r="P60" s="3"/>
    </row>
    <row r="61" spans="2:16" x14ac:dyDescent="0.25">
      <c r="B61" s="3"/>
      <c r="C61" s="3"/>
      <c r="D61" s="3"/>
      <c r="E61" s="3"/>
      <c r="F61" s="3"/>
      <c r="G61" s="3"/>
      <c r="H61" s="3"/>
      <c r="I61" s="3"/>
      <c r="J61" s="3"/>
      <c r="K61" s="3"/>
      <c r="L61" s="3"/>
      <c r="M61" s="3"/>
      <c r="N61" s="3"/>
      <c r="O61" s="3"/>
      <c r="P61" s="3"/>
    </row>
    <row r="62" spans="2:16" x14ac:dyDescent="0.25">
      <c r="B62" s="3"/>
      <c r="C62" s="3"/>
      <c r="D62" s="3"/>
      <c r="E62" s="3"/>
      <c r="F62" s="3"/>
      <c r="G62" s="3"/>
      <c r="H62" s="3"/>
      <c r="I62" s="3"/>
      <c r="J62" s="3"/>
      <c r="K62" s="3"/>
      <c r="L62" s="3"/>
      <c r="M62" s="3"/>
      <c r="N62" s="3"/>
      <c r="O62" s="3"/>
      <c r="P62" s="3"/>
    </row>
    <row r="63" spans="2:16" x14ac:dyDescent="0.25">
      <c r="B63" s="3"/>
      <c r="C63" s="3"/>
      <c r="D63" s="3"/>
      <c r="E63" s="3"/>
      <c r="F63" s="3"/>
      <c r="G63" s="3"/>
      <c r="H63" s="3"/>
      <c r="I63" s="3"/>
      <c r="J63" s="3"/>
      <c r="K63" s="3"/>
      <c r="L63" s="3"/>
      <c r="M63" s="3"/>
      <c r="N63" s="3"/>
      <c r="O63" s="3"/>
      <c r="P63" s="3"/>
    </row>
    <row r="64" spans="2:16" x14ac:dyDescent="0.25">
      <c r="B64" s="3"/>
      <c r="C64" s="3"/>
      <c r="D64" s="3"/>
      <c r="E64" s="3"/>
      <c r="F64" s="3"/>
      <c r="G64" s="3"/>
      <c r="H64" s="3"/>
      <c r="I64" s="3"/>
      <c r="J64" s="3"/>
      <c r="K64" s="3"/>
      <c r="L64" s="3"/>
      <c r="M64" s="3"/>
      <c r="N64" s="3"/>
      <c r="O64" s="3"/>
      <c r="P64" s="3"/>
    </row>
    <row r="65" spans="2:16" x14ac:dyDescent="0.25">
      <c r="B65" s="3"/>
      <c r="C65" s="3"/>
      <c r="D65" s="3"/>
      <c r="E65" s="3"/>
      <c r="F65" s="3"/>
      <c r="G65" s="3"/>
      <c r="H65" s="3"/>
      <c r="I65" s="3"/>
      <c r="J65" s="3"/>
      <c r="K65" s="3"/>
      <c r="L65" s="3"/>
      <c r="M65" s="3"/>
      <c r="N65" s="3"/>
      <c r="O65" s="3"/>
      <c r="P65" s="3"/>
    </row>
    <row r="66" spans="2:16" x14ac:dyDescent="0.25">
      <c r="B66" s="3"/>
      <c r="C66" s="3"/>
      <c r="D66" s="3"/>
      <c r="E66" s="3"/>
      <c r="F66" s="3"/>
      <c r="G66" s="3"/>
      <c r="H66" s="3"/>
      <c r="I66" s="3"/>
      <c r="J66" s="3"/>
      <c r="K66" s="3"/>
      <c r="L66" s="3"/>
      <c r="M66" s="3"/>
      <c r="N66" s="3"/>
      <c r="O66" s="3"/>
      <c r="P66" s="3"/>
    </row>
    <row r="67" spans="2:16" x14ac:dyDescent="0.25">
      <c r="B67" s="3"/>
      <c r="C67" s="3"/>
      <c r="D67" s="3"/>
      <c r="E67" s="3"/>
      <c r="F67" s="3"/>
      <c r="G67" s="3"/>
      <c r="H67" s="3"/>
      <c r="I67" s="3"/>
      <c r="J67" s="3"/>
      <c r="K67" s="3"/>
      <c r="L67" s="3"/>
      <c r="M67" s="3"/>
      <c r="N67" s="3"/>
      <c r="O67" s="3"/>
      <c r="P67" s="3"/>
    </row>
    <row r="68" spans="2:16" x14ac:dyDescent="0.25">
      <c r="B68" s="3"/>
      <c r="C68" s="3"/>
      <c r="D68" s="3"/>
      <c r="E68" s="3"/>
      <c r="F68" s="3"/>
      <c r="G68" s="3"/>
      <c r="H68" s="3"/>
      <c r="I68" s="3"/>
      <c r="J68" s="3"/>
      <c r="K68" s="3"/>
      <c r="L68" s="3"/>
      <c r="M68" s="3"/>
      <c r="N68" s="3"/>
      <c r="O68" s="3"/>
      <c r="P68" s="3"/>
    </row>
    <row r="69" spans="2:16" x14ac:dyDescent="0.25">
      <c r="B69" s="3"/>
      <c r="C69" s="3"/>
      <c r="D69" s="3"/>
      <c r="E69" s="3"/>
      <c r="F69" s="3"/>
      <c r="G69" s="3"/>
      <c r="H69" s="3"/>
      <c r="I69" s="3"/>
      <c r="J69" s="3"/>
      <c r="K69" s="3"/>
      <c r="L69" s="3"/>
      <c r="M69" s="3"/>
      <c r="N69" s="3"/>
      <c r="O69" s="3"/>
      <c r="P69" s="3"/>
    </row>
    <row r="70" spans="2:16" x14ac:dyDescent="0.25">
      <c r="B70" s="3"/>
      <c r="C70" s="3"/>
      <c r="D70" s="3"/>
      <c r="E70" s="3"/>
      <c r="F70" s="3"/>
      <c r="G70" s="3"/>
      <c r="H70" s="3"/>
      <c r="I70" s="3"/>
      <c r="J70" s="3"/>
      <c r="K70" s="3"/>
      <c r="L70" s="3"/>
      <c r="M70" s="3"/>
      <c r="N70" s="3"/>
      <c r="O70" s="3"/>
      <c r="P70" s="3"/>
    </row>
    <row r="71" spans="2:16" x14ac:dyDescent="0.25">
      <c r="B71" s="3"/>
      <c r="C71" s="3"/>
      <c r="D71" s="3"/>
      <c r="E71" s="3"/>
      <c r="F71" s="3"/>
      <c r="G71" s="3"/>
      <c r="H71" s="3"/>
      <c r="I71" s="3"/>
      <c r="J71" s="3"/>
      <c r="K71" s="3"/>
      <c r="L71" s="3"/>
      <c r="M71" s="3"/>
      <c r="N71" s="3"/>
      <c r="O71" s="3"/>
      <c r="P71" s="3"/>
    </row>
    <row r="72" spans="2:16" x14ac:dyDescent="0.25">
      <c r="B72" s="3"/>
      <c r="C72" s="3"/>
      <c r="D72" s="3"/>
      <c r="E72" s="3"/>
      <c r="F72" s="3"/>
      <c r="G72" s="3"/>
      <c r="H72" s="3"/>
      <c r="I72" s="3"/>
      <c r="J72" s="3"/>
      <c r="K72" s="3"/>
      <c r="L72" s="3"/>
      <c r="M72" s="3"/>
      <c r="N72" s="3"/>
      <c r="O72" s="3"/>
      <c r="P72" s="3"/>
    </row>
    <row r="73" spans="2:16" x14ac:dyDescent="0.25">
      <c r="B73" s="3"/>
      <c r="C73" s="3"/>
      <c r="D73" s="3"/>
      <c r="E73" s="3"/>
      <c r="F73" s="3"/>
      <c r="G73" s="3"/>
      <c r="H73" s="3"/>
      <c r="I73" s="3"/>
      <c r="J73" s="3"/>
      <c r="K73" s="3"/>
      <c r="L73" s="3"/>
      <c r="M73" s="3"/>
      <c r="N73" s="3"/>
      <c r="O73" s="3"/>
      <c r="P73" s="3"/>
    </row>
    <row r="74" spans="2:16" x14ac:dyDescent="0.25">
      <c r="B74" s="3"/>
      <c r="C74" s="3"/>
      <c r="D74" s="3"/>
      <c r="E74" s="3"/>
      <c r="F74" s="3"/>
      <c r="G74" s="3"/>
      <c r="H74" s="3"/>
      <c r="I74" s="3"/>
      <c r="J74" s="3"/>
      <c r="K74" s="3"/>
      <c r="L74" s="3"/>
      <c r="M74" s="3"/>
      <c r="N74" s="3"/>
      <c r="O74" s="3"/>
      <c r="P74" s="3"/>
    </row>
    <row r="75" spans="2:16" x14ac:dyDescent="0.25">
      <c r="B75" s="3"/>
      <c r="C75" s="3"/>
      <c r="D75" s="3"/>
      <c r="E75" s="3"/>
      <c r="F75" s="3"/>
      <c r="G75" s="3"/>
      <c r="H75" s="3"/>
      <c r="I75" s="3"/>
      <c r="J75" s="3"/>
      <c r="K75" s="3"/>
      <c r="L75" s="3"/>
      <c r="M75" s="3"/>
      <c r="N75" s="3"/>
      <c r="O75" s="3"/>
      <c r="P75" s="3"/>
    </row>
  </sheetData>
  <sheetProtection algorithmName="SHA-512" hashValue="ob2p/NJAU+753ptR8XR9C7NZSE8YJQRZsQ+kucCG4l0Y5bXcu+4qn14FJgp8zQvr840C7IR5Foy1UHYcgcK+VQ==" saltValue="4EiT3DdrzLo8p7/hk4640w==" spinCount="100000" sheet="1" objects="1" scenarios="1"/>
  <mergeCells count="15">
    <mergeCell ref="D18:P18"/>
    <mergeCell ref="D17:P17"/>
    <mergeCell ref="D16:P16"/>
    <mergeCell ref="B1:L1"/>
    <mergeCell ref="D15:P15"/>
    <mergeCell ref="D5:P5"/>
    <mergeCell ref="D14:P14"/>
    <mergeCell ref="B2:L2"/>
    <mergeCell ref="D4:P4"/>
    <mergeCell ref="D13:P13"/>
    <mergeCell ref="D12:P12"/>
    <mergeCell ref="D11:P11"/>
    <mergeCell ref="D10:P10"/>
    <mergeCell ref="D9:P9"/>
    <mergeCell ref="D8:P8"/>
  </mergeCells>
  <phoneticPr fontId="24" type="noConversion"/>
  <pageMargins left="0.70866141732283472" right="0.70866141732283472" top="0.74803149606299213" bottom="0.74803149606299213" header="0.31496062992125984" footer="0.31496062992125984"/>
  <pageSetup paperSize="9" scale="8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94fc5000-3977-4bb9-85fe-95b8458bb4bf">605893-383881373-1094</_dlc_DocId>
    <_dlc_DocIdUrl xmlns="94fc5000-3977-4bb9-85fe-95b8458bb4bf">
      <Url>http://bikube/Oppdrag/605893/02/_layouts/15/DocIdRedir.aspx?ID=605893-383881373-1094</Url>
      <Description>605893-383881373-1094</Description>
    </_dlc_DocIdUrl>
    <FraTekst xmlns="8f686a36-9368-4dda-9e9f-a86bde0d326a" xsi:nil="true"/>
    <Revisjon xmlns="8f686a36-9368-4dda-9e9f-a86bde0d326a" xsi:nil="true"/>
    <KopiTekst xmlns="8f686a36-9368-4dda-9e9f-a86bde0d326a" xsi:nil="true"/>
    <Aktivitet xmlns="8f686a36-9368-4dda-9e9f-a86bde0d326a" xsi:nil="true"/>
    <Dokumenttype xmlns="8f686a36-9368-4dda-9e9f-a86bde0d326a">Oppdragsdokument</Dokumenttype>
    <Dokumenttema xmlns="8f686a36-9368-4dda-9e9f-a86bde0d326a" xsi:nil="true"/>
    <TilTekst xmlns="8f686a36-9368-4dda-9e9f-a86bde0d326a" xsi:nil="true"/>
    <RevisjonsDato xmlns="8f686a36-9368-4dda-9e9f-a86bde0d326a" xsi:nil="true"/>
    <Oppdragsnummer xmlns="8f686a36-9368-4dda-9e9f-a86bde0d326a">605893-02</Oppdragsnummer>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73ED8D844509B40B8ED2A4F57557FDF" ma:contentTypeVersion="10" ma:contentTypeDescription="Opprett et nytt dokument." ma:contentTypeScope="" ma:versionID="5a3588df43d0e122934e98f713478315">
  <xsd:schema xmlns:xsd="http://www.w3.org/2001/XMLSchema" xmlns:xs="http://www.w3.org/2001/XMLSchema" xmlns:p="http://schemas.microsoft.com/office/2006/metadata/properties" xmlns:ns2="94fc5000-3977-4bb9-85fe-95b8458bb4bf" xmlns:ns3="8f686a36-9368-4dda-9e9f-a86bde0d326a" targetNamespace="http://schemas.microsoft.com/office/2006/metadata/properties" ma:root="true" ma:fieldsID="5dc860a208286b0380a3671511075df2" ns2:_="" ns3:_="">
    <xsd:import namespace="94fc5000-3977-4bb9-85fe-95b8458bb4bf"/>
    <xsd:import namespace="8f686a36-9368-4dda-9e9f-a86bde0d326a"/>
    <xsd:element name="properties">
      <xsd:complexType>
        <xsd:sequence>
          <xsd:element name="documentManagement">
            <xsd:complexType>
              <xsd:all>
                <xsd:element ref="ns2:_dlc_DocId" minOccurs="0"/>
                <xsd:element ref="ns2:_dlc_DocIdUrl" minOccurs="0"/>
                <xsd:element ref="ns2:_dlc_DocIdPersistId" minOccurs="0"/>
                <xsd:element ref="ns3:Dokumenttype"/>
                <xsd:element ref="ns3:Aktivitet" minOccurs="0"/>
                <xsd:element ref="ns3:Dokumenttema" minOccurs="0"/>
                <xsd:element ref="ns3:Revisjon" minOccurs="0"/>
                <xsd:element ref="ns3:RevisjonsDato" minOccurs="0"/>
                <xsd:element ref="ns3:TilTekst" minOccurs="0"/>
                <xsd:element ref="ns3:FraTekst" minOccurs="0"/>
                <xsd:element ref="ns3:KopiTekst" minOccurs="0"/>
                <xsd:element ref="ns3:SharedWithUsers" minOccurs="0"/>
                <xsd:element ref="ns3:Oppdragsnumm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fc5000-3977-4bb9-85fe-95b8458bb4bf" elementFormDefault="qualified">
    <xsd:import namespace="http://schemas.microsoft.com/office/2006/documentManagement/types"/>
    <xsd:import namespace="http://schemas.microsoft.com/office/infopath/2007/PartnerControls"/>
    <xsd:element name="_dlc_DocId" ma:index="8" nillable="true" ma:displayName="Dokument-ID-verdi" ma:description="Verdien for dokument-IDen som er tilordnet elementet." ma:internalName="_dlc_DocId" ma:readOnly="true">
      <xsd:simpleType>
        <xsd:restriction base="dms:Text"/>
      </xsd:simpleType>
    </xsd:element>
    <xsd:element name="_dlc_DocIdUrl" ma:index="9" nillable="true" ma:displayName="Dokument-ID" ma:description="Fast kobling til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f686a36-9368-4dda-9e9f-a86bde0d326a" elementFormDefault="qualified">
    <xsd:import namespace="http://schemas.microsoft.com/office/2006/documentManagement/types"/>
    <xsd:import namespace="http://schemas.microsoft.com/office/infopath/2007/PartnerControls"/>
    <xsd:element name="Dokumenttype" ma:index="11" ma:displayName="Dokumenttype" ma:default="Oppdragsdokument" ma:internalName="Dokumenttype">
      <xsd:simpleType>
        <xsd:restriction base="dms:Choice">
          <xsd:enumeration value="Oppdragsdokument"/>
          <xsd:enumeration value="Avtale"/>
          <xsd:enumeration value="Kart"/>
          <xsd:enumeration value="Notat"/>
          <xsd:enumeration value="Rapport"/>
          <xsd:enumeration value="Tegning"/>
          <xsd:enumeration value="Tilbud"/>
          <xsd:enumeration value="Brev"/>
          <xsd:enumeration value="Møte"/>
          <xsd:enumeration value="E-post"/>
          <xsd:enumeration value="Sjekkliste"/>
        </xsd:restriction>
      </xsd:simpleType>
    </xsd:element>
    <xsd:element name="Aktivitet" ma:index="12" nillable="true" ma:displayName="Aktivitet" ma:list="{4A005FC5-2181-4245-9789-C7D57B48DB22}" ma:internalName="Aktivitet" ma:showField="Title" ma:web="8f686a36-9368-4dda-9e9f-a86bde0d326a">
      <xsd:simpleType>
        <xsd:restriction base="dms:Lookup"/>
      </xsd:simpleType>
    </xsd:element>
    <xsd:element name="Dokumenttema" ma:index="13" nillable="true" ma:displayName="Dokumenttema" ma:list="{49143DDE-213C-4E8B-A328-CB38FE75E5AB}" ma:internalName="Dokumenttema" ma:showField="Title" ma:web="8f686a36-9368-4dda-9e9f-a86bde0d326a">
      <xsd:simpleType>
        <xsd:restriction base="dms:Lookup"/>
      </xsd:simpleType>
    </xsd:element>
    <xsd:element name="Revisjon" ma:index="14" nillable="true" ma:displayName="Revisjon" ma:internalName="Revisjon">
      <xsd:simpleType>
        <xsd:restriction base="dms:Text">
          <xsd:maxLength value="255"/>
        </xsd:restriction>
      </xsd:simpleType>
    </xsd:element>
    <xsd:element name="RevisjonsDato" ma:index="15" nillable="true" ma:displayName="RevisjonsDato" ma:format="DateOnly" ma:internalName="RevisjonsDato">
      <xsd:simpleType>
        <xsd:restriction base="dms:DateTime"/>
      </xsd:simpleType>
    </xsd:element>
    <xsd:element name="TilTekst" ma:index="16" nillable="true" ma:displayName="Til" ma:internalName="TilTekst">
      <xsd:simpleType>
        <xsd:restriction base="dms:Note">
          <xsd:maxLength value="255"/>
        </xsd:restriction>
      </xsd:simpleType>
    </xsd:element>
    <xsd:element name="FraTekst" ma:index="17" nillable="true" ma:displayName="Fra" ma:internalName="FraTekst">
      <xsd:simpleType>
        <xsd:restriction base="dms:Note">
          <xsd:maxLength value="255"/>
        </xsd:restriction>
      </xsd:simpleType>
    </xsd:element>
    <xsd:element name="KopiTekst" ma:index="18" nillable="true" ma:displayName="Kopi" ma:internalName="KopiTekst">
      <xsd:simpleType>
        <xsd:restriction base="dms:Note">
          <xsd:maxLength value="255"/>
        </xsd:restriction>
      </xsd:simpleType>
    </xsd:element>
    <xsd:element name="SharedWithUsers" ma:index="19" nillable="true" ma:displayName="Del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ppdragsnummer" ma:index="20" nillable="true" ma:displayName="Oppdragsnummer" ma:default="605893-02" ma:internalName="Oppdragsnumm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F68772-2ABF-4F37-8594-F905212249AD}">
  <ds:schemaRefs>
    <ds:schemaRef ds:uri="http://schemas.microsoft.com/office/infopath/2007/PartnerControls"/>
    <ds:schemaRef ds:uri="http://schemas.microsoft.com/office/2006/documentManagement/types"/>
    <ds:schemaRef ds:uri="http://purl.org/dc/dcmitype/"/>
    <ds:schemaRef ds:uri="http://purl.org/dc/terms/"/>
    <ds:schemaRef ds:uri="http://schemas.openxmlformats.org/package/2006/metadata/core-properties"/>
    <ds:schemaRef ds:uri="8f686a36-9368-4dda-9e9f-a86bde0d326a"/>
    <ds:schemaRef ds:uri="http://purl.org/dc/elements/1.1/"/>
    <ds:schemaRef ds:uri="94fc5000-3977-4bb9-85fe-95b8458bb4bf"/>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E5A47B2-70B8-4015-893E-22B01DD8E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fc5000-3977-4bb9-85fe-95b8458bb4bf"/>
    <ds:schemaRef ds:uri="8f686a36-9368-4dda-9e9f-a86bde0d32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1DD3A8-8D41-4FD7-A662-C510F7F38AB7}">
  <ds:schemaRefs>
    <ds:schemaRef ds:uri="http://schemas.microsoft.com/sharepoint/events"/>
  </ds:schemaRefs>
</ds:datastoreItem>
</file>

<file path=customXml/itemProps4.xml><?xml version="1.0" encoding="utf-8"?>
<ds:datastoreItem xmlns:ds="http://schemas.openxmlformats.org/officeDocument/2006/customXml" ds:itemID="{99D2125B-24D9-472D-B56D-38274035C0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938</vt:i4>
      </vt:variant>
    </vt:vector>
  </HeadingPairs>
  <TitlesOfParts>
    <vt:vector size="952" baseType="lpstr">
      <vt:lpstr>Instructions</vt:lpstr>
      <vt:lpstr>Pre-Assessment Estimator</vt:lpstr>
      <vt:lpstr>Assessment Details</vt:lpstr>
      <vt:lpstr>Assessment Issue Scoring</vt:lpstr>
      <vt:lpstr>Poeng</vt:lpstr>
      <vt:lpstr>Manuell filtrering og justering</vt:lpstr>
      <vt:lpstr>Assessment Rating &amp; KPIs</vt:lpstr>
      <vt:lpstr>Assessment References</vt:lpstr>
      <vt:lpstr>Version Control</vt:lpstr>
      <vt:lpstr>Options</vt:lpstr>
      <vt:lpstr>Ubrukt</vt:lpstr>
      <vt:lpstr>Sheet3</vt:lpstr>
      <vt:lpstr>Sheet1</vt:lpstr>
      <vt:lpstr>Sheet2</vt:lpstr>
      <vt:lpstr>_Man01</vt:lpstr>
      <vt:lpstr>_PSc1</vt:lpstr>
      <vt:lpstr>_PSc2</vt:lpstr>
      <vt:lpstr>Achieved_const</vt:lpstr>
      <vt:lpstr>Achieved_initial</vt:lpstr>
      <vt:lpstr>AD_Add01</vt:lpstr>
      <vt:lpstr>AD_Add02</vt:lpstr>
      <vt:lpstr>AD_Add04</vt:lpstr>
      <vt:lpstr>AD_Architect</vt:lpstr>
      <vt:lpstr>AD_assessor</vt:lpstr>
      <vt:lpstr>AD_Assessor_org</vt:lpstr>
      <vt:lpstr>AD_Banner</vt:lpstr>
      <vt:lpstr>AD_BREEAM_stage</vt:lpstr>
      <vt:lpstr>AD_BREEAM_version</vt:lpstr>
      <vt:lpstr>AD_BREEAMAP</vt:lpstr>
      <vt:lpstr>AD_Buildserve</vt:lpstr>
      <vt:lpstr>AD_Builduser</vt:lpstr>
      <vt:lpstr>AD_catlevel</vt:lpstr>
      <vt:lpstr>AD_catlevel_KOPI</vt:lpstr>
      <vt:lpstr>AD_catlevel01</vt:lpstr>
      <vt:lpstr>AD_catlevel02</vt:lpstr>
      <vt:lpstr>AD_catlevel03</vt:lpstr>
      <vt:lpstr>AD_client</vt:lpstr>
      <vt:lpstr>AD_Contractor</vt:lpstr>
      <vt:lpstr>AD_Developer</vt:lpstr>
      <vt:lpstr>AD_GIA</vt:lpstr>
      <vt:lpstr>AD_heat</vt:lpstr>
      <vt:lpstr>AD_labcat_list</vt:lpstr>
      <vt:lpstr>AD_Labsize</vt:lpstr>
      <vt:lpstr>AD_Labsize_list</vt:lpstr>
      <vt:lpstr>AD_Labsize01</vt:lpstr>
      <vt:lpstr>AD_Labsize02</vt:lpstr>
      <vt:lpstr>AD_Labsize03</vt:lpstr>
      <vt:lpstr>AD_labsize04</vt:lpstr>
      <vt:lpstr>AD_Landscape</vt:lpstr>
      <vt:lpstr>AD_MultiRes_option01a</vt:lpstr>
      <vt:lpstr>AD_MultiRes_option01b</vt:lpstr>
      <vt:lpstr>AD_Multitenant</vt:lpstr>
      <vt:lpstr>AD_NaturalHazards</vt:lpstr>
      <vt:lpstr>AD_NIFA</vt:lpstr>
      <vt:lpstr>AD_no</vt:lpstr>
      <vt:lpstr>AD_option_na</vt:lpstr>
      <vt:lpstr>AD_Other01</vt:lpstr>
      <vt:lpstr>AD_Other02</vt:lpstr>
      <vt:lpstr>AD_other03</vt:lpstr>
      <vt:lpstr>AD_Other04</vt:lpstr>
      <vt:lpstr>AD_Ozoneleg</vt:lpstr>
      <vt:lpstr>AD_p_zone0</vt:lpstr>
      <vt:lpstr>AD_p_zone1</vt:lpstr>
      <vt:lpstr>AD_P_zone2</vt:lpstr>
      <vt:lpstr>AD_P_Zone3</vt:lpstr>
      <vt:lpstr>AD_Projman</vt:lpstr>
      <vt:lpstr>AD_ref</vt:lpstr>
      <vt:lpstr>AD_refrig</vt:lpstr>
      <vt:lpstr>AD_SiteAccess</vt:lpstr>
      <vt:lpstr>AD_stage_list</vt:lpstr>
      <vt:lpstr>AD_Statement04</vt:lpstr>
      <vt:lpstr>AD_statement05</vt:lpstr>
      <vt:lpstr>AD_statement06</vt:lpstr>
      <vt:lpstr>AD_tra01type</vt:lpstr>
      <vt:lpstr>AD_Trans</vt:lpstr>
      <vt:lpstr>AD_type_list</vt:lpstr>
      <vt:lpstr>AD_Vehiclewash</vt:lpstr>
      <vt:lpstr>AD_version</vt:lpstr>
      <vt:lpstr>AD_Yes</vt:lpstr>
      <vt:lpstr>AD_YesNo</vt:lpstr>
      <vt:lpstr>AD_YesNo_list</vt:lpstr>
      <vt:lpstr>ADAS0</vt:lpstr>
      <vt:lpstr>ADAS01</vt:lpstr>
      <vt:lpstr>ADAS02</vt:lpstr>
      <vt:lpstr>ADBN</vt:lpstr>
      <vt:lpstr>ADBT_sub02</vt:lpstr>
      <vt:lpstr>ADBT_sub03</vt:lpstr>
      <vt:lpstr>ADBT_sub04</vt:lpstr>
      <vt:lpstr>ADBT_sub05</vt:lpstr>
      <vt:lpstr>ADBT_sub06</vt:lpstr>
      <vt:lpstr>ADBT_sub07</vt:lpstr>
      <vt:lpstr>ADBT_sub08</vt:lpstr>
      <vt:lpstr>ADBT_sub09</vt:lpstr>
      <vt:lpstr>ADBT_sub10</vt:lpstr>
      <vt:lpstr>ADBT_sub11</vt:lpstr>
      <vt:lpstr>ADBT_sub12</vt:lpstr>
      <vt:lpstr>ADBT_sub13</vt:lpstr>
      <vt:lpstr>ADBT_sub14</vt:lpstr>
      <vt:lpstr>ADBT_sub15</vt:lpstr>
      <vt:lpstr>ADBT_sub16</vt:lpstr>
      <vt:lpstr>ADBT_sub17</vt:lpstr>
      <vt:lpstr>ADBT0</vt:lpstr>
      <vt:lpstr>ADBT1</vt:lpstr>
      <vt:lpstr>ADBT12</vt:lpstr>
      <vt:lpstr>ADBT14</vt:lpstr>
      <vt:lpstr>ADBT2</vt:lpstr>
      <vt:lpstr>ADBT3</vt:lpstr>
      <vt:lpstr>ADBT8</vt:lpstr>
      <vt:lpstr>ADBT9</vt:lpstr>
      <vt:lpstr>ADFume_option01</vt:lpstr>
      <vt:lpstr>ADIND_option02</vt:lpstr>
      <vt:lpstr>ADIND_option03</vt:lpstr>
      <vt:lpstr>ADPT</vt:lpstr>
      <vt:lpstr>ADPT01</vt:lpstr>
      <vt:lpstr>ADPT02</vt:lpstr>
      <vt:lpstr>ADPT03</vt:lpstr>
      <vt:lpstr>ADPT04</vt:lpstr>
      <vt:lpstr>AIS_BREEAM_rating_level</vt:lpstr>
      <vt:lpstr>Sheet3!AIS_construction</vt:lpstr>
      <vt:lpstr>AIS_construction</vt:lpstr>
      <vt:lpstr>AIS_credit00</vt:lpstr>
      <vt:lpstr>AIS_credit01</vt:lpstr>
      <vt:lpstr>AIS_credit02</vt:lpstr>
      <vt:lpstr>Sheet3!AIS_Error</vt:lpstr>
      <vt:lpstr>AIS_Error</vt:lpstr>
      <vt:lpstr>Sheet3!AIS_measured</vt:lpstr>
      <vt:lpstr>AIS_measured</vt:lpstr>
      <vt:lpstr>AIS_MinSt_benchmarks</vt:lpstr>
      <vt:lpstr>AIS_Minstand</vt:lpstr>
      <vt:lpstr>AIS_MinStand_rating_check</vt:lpstr>
      <vt:lpstr>AIS_MinStandMin</vt:lpstr>
      <vt:lpstr>Sheet3!AIS_Missing_data</vt:lpstr>
      <vt:lpstr>AIS_Missing_data</vt:lpstr>
      <vt:lpstr>Sheet3!AIS_Modelled</vt:lpstr>
      <vt:lpstr>AIS_Modelled</vt:lpstr>
      <vt:lpstr>Sheet3!AIS_NA</vt:lpstr>
      <vt:lpstr>AIS_NA</vt:lpstr>
      <vt:lpstr>Sheet3!AIS_No</vt:lpstr>
      <vt:lpstr>AIS_No</vt:lpstr>
      <vt:lpstr>AIS_option00</vt:lpstr>
      <vt:lpstr>AIS_option00a</vt:lpstr>
      <vt:lpstr>AIS_option00b</vt:lpstr>
      <vt:lpstr>AIS_option01</vt:lpstr>
      <vt:lpstr>AIS_option01a</vt:lpstr>
      <vt:lpstr>AIS_option01b</vt:lpstr>
      <vt:lpstr>AIS_option02</vt:lpstr>
      <vt:lpstr>AIS_option02_50</vt:lpstr>
      <vt:lpstr>AIS_option02a</vt:lpstr>
      <vt:lpstr>AIS_option03</vt:lpstr>
      <vt:lpstr>AIS_option03a</vt:lpstr>
      <vt:lpstr>AIS_option03b</vt:lpstr>
      <vt:lpstr>AIS_option04</vt:lpstr>
      <vt:lpstr>AIS_option04a</vt:lpstr>
      <vt:lpstr>AIS_option04b</vt:lpstr>
      <vt:lpstr>AIS_option05</vt:lpstr>
      <vt:lpstr>AIS_option05a</vt:lpstr>
      <vt:lpstr>AIS_option05b</vt:lpstr>
      <vt:lpstr>AIS_percentrange</vt:lpstr>
      <vt:lpstr>AIS_PS</vt:lpstr>
      <vt:lpstr>AIS_Shell_option01</vt:lpstr>
      <vt:lpstr>AIS_shell_option02</vt:lpstr>
      <vt:lpstr>AIS_shell_option03</vt:lpstr>
      <vt:lpstr>AIS_stage00</vt:lpstr>
      <vt:lpstr>AIS_stage01</vt:lpstr>
      <vt:lpstr>AIS_stage02</vt:lpstr>
      <vt:lpstr>AIS_statement01</vt:lpstr>
      <vt:lpstr>AIS_statement02</vt:lpstr>
      <vt:lpstr>AIS_statement03</vt:lpstr>
      <vt:lpstr>AIS_statement04</vt:lpstr>
      <vt:lpstr>AIS_statement05</vt:lpstr>
      <vt:lpstr>AIS_statement06</vt:lpstr>
      <vt:lpstr>AIS_statement07</vt:lpstr>
      <vt:lpstr>AIS_statement08</vt:lpstr>
      <vt:lpstr>AIS_statement10</vt:lpstr>
      <vt:lpstr>AIS_statement100</vt:lpstr>
      <vt:lpstr>AIS_Statement101</vt:lpstr>
      <vt:lpstr>AIS_Statement102</vt:lpstr>
      <vt:lpstr>AIS_Statement103</vt:lpstr>
      <vt:lpstr>AIS_Statement104</vt:lpstr>
      <vt:lpstr>AIS_Statement105</vt:lpstr>
      <vt:lpstr>AIS_Statement106</vt:lpstr>
      <vt:lpstr>AIS_statement107</vt:lpstr>
      <vt:lpstr>AIS_statement108</vt:lpstr>
      <vt:lpstr>AIS_statement109</vt:lpstr>
      <vt:lpstr>AIS_statement11</vt:lpstr>
      <vt:lpstr>AIS_statement110</vt:lpstr>
      <vt:lpstr>AIS_statement12</vt:lpstr>
      <vt:lpstr>AIS_statement15</vt:lpstr>
      <vt:lpstr>AIS_statement16</vt:lpstr>
      <vt:lpstr>AIS_statement17</vt:lpstr>
      <vt:lpstr>AIS_statement18</vt:lpstr>
      <vt:lpstr>AIS_statement19</vt:lpstr>
      <vt:lpstr>AIS_statement20</vt:lpstr>
      <vt:lpstr>AIS_statement20b</vt:lpstr>
      <vt:lpstr>AIS_statement22</vt:lpstr>
      <vt:lpstr>AIS_statement24</vt:lpstr>
      <vt:lpstr>AIS_statement25</vt:lpstr>
      <vt:lpstr>AIS_statement26</vt:lpstr>
      <vt:lpstr>AIS_statement27</vt:lpstr>
      <vt:lpstr>AIS_statement28</vt:lpstr>
      <vt:lpstr>AIS_statement29</vt:lpstr>
      <vt:lpstr>AIS_statement30</vt:lpstr>
      <vt:lpstr>AIS_statement31</vt:lpstr>
      <vt:lpstr>AIS_statement32</vt:lpstr>
      <vt:lpstr>AIS_statement33</vt:lpstr>
      <vt:lpstr>AIS_statement34</vt:lpstr>
      <vt:lpstr>AIS_statement35</vt:lpstr>
      <vt:lpstr>AIS_statement36</vt:lpstr>
      <vt:lpstr>AIS_statement37</vt:lpstr>
      <vt:lpstr>AIS_statement38</vt:lpstr>
      <vt:lpstr>AIS_statement39</vt:lpstr>
      <vt:lpstr>AIS_statement40</vt:lpstr>
      <vt:lpstr>AIS_statement41</vt:lpstr>
      <vt:lpstr>AIS_statement42</vt:lpstr>
      <vt:lpstr>AIS_statement43</vt:lpstr>
      <vt:lpstr>AIS_statement44</vt:lpstr>
      <vt:lpstr>AIS_statement45</vt:lpstr>
      <vt:lpstr>AIS_statement46</vt:lpstr>
      <vt:lpstr>AIS_statement47</vt:lpstr>
      <vt:lpstr>AIS_statement48</vt:lpstr>
      <vt:lpstr>AIS_statement49</vt:lpstr>
      <vt:lpstr>AIS_statement50</vt:lpstr>
      <vt:lpstr>AIS_statement51</vt:lpstr>
      <vt:lpstr>AIS_statement52</vt:lpstr>
      <vt:lpstr>AIS_statement53</vt:lpstr>
      <vt:lpstr>AIS_statement54</vt:lpstr>
      <vt:lpstr>AIS_statement55</vt:lpstr>
      <vt:lpstr>AIS_statement56</vt:lpstr>
      <vt:lpstr>AIS_statement57</vt:lpstr>
      <vt:lpstr>AIS_statement58</vt:lpstr>
      <vt:lpstr>AIS_statement59</vt:lpstr>
      <vt:lpstr>AIS_statement60</vt:lpstr>
      <vt:lpstr>AIS_statement61</vt:lpstr>
      <vt:lpstr>AIS_statement62</vt:lpstr>
      <vt:lpstr>AIS_statement63</vt:lpstr>
      <vt:lpstr>AIS_statement64</vt:lpstr>
      <vt:lpstr>AIS_statement65</vt:lpstr>
      <vt:lpstr>AIS_statement66</vt:lpstr>
      <vt:lpstr>AIS_statement67</vt:lpstr>
      <vt:lpstr>AIS_statement68</vt:lpstr>
      <vt:lpstr>AIS_statement69</vt:lpstr>
      <vt:lpstr>AIS_statement70</vt:lpstr>
      <vt:lpstr>AIS_statement71</vt:lpstr>
      <vt:lpstr>AIS_statement72</vt:lpstr>
      <vt:lpstr>AIS_statement73</vt:lpstr>
      <vt:lpstr>AIS_statement74</vt:lpstr>
      <vt:lpstr>AIS_statement75</vt:lpstr>
      <vt:lpstr>AIS_statement76</vt:lpstr>
      <vt:lpstr>AIS_statement77</vt:lpstr>
      <vt:lpstr>AIS_statement78</vt:lpstr>
      <vt:lpstr>AIS_statement79</vt:lpstr>
      <vt:lpstr>AIS_statement80</vt:lpstr>
      <vt:lpstr>AIS_Statement81</vt:lpstr>
      <vt:lpstr>AIS_statement82</vt:lpstr>
      <vt:lpstr>AIS_statement83</vt:lpstr>
      <vt:lpstr>AIS_statement84</vt:lpstr>
      <vt:lpstr>AIS_statement85</vt:lpstr>
      <vt:lpstr>AIS_statement86</vt:lpstr>
      <vt:lpstr>AIS_statement87</vt:lpstr>
      <vt:lpstr>AIS_Statement88</vt:lpstr>
      <vt:lpstr>AIS_Statement89</vt:lpstr>
      <vt:lpstr>AIS_statement90</vt:lpstr>
      <vt:lpstr>AIS_statement91</vt:lpstr>
      <vt:lpstr>AIS_statement92</vt:lpstr>
      <vt:lpstr>AIS_statement93</vt:lpstr>
      <vt:lpstr>AIS_statement94</vt:lpstr>
      <vt:lpstr>AIS_Statement95</vt:lpstr>
      <vt:lpstr>AIS_statement96</vt:lpstr>
      <vt:lpstr>AIS_statement97</vt:lpstr>
      <vt:lpstr>AIS_statement98</vt:lpstr>
      <vt:lpstr>AIS_statement99</vt:lpstr>
      <vt:lpstr>Sheet3!AIS_target</vt:lpstr>
      <vt:lpstr>AIS_target</vt:lpstr>
      <vt:lpstr>AIS_units01</vt:lpstr>
      <vt:lpstr>AIS_units02</vt:lpstr>
      <vt:lpstr>AIS_units03</vt:lpstr>
      <vt:lpstr>AIS_units04</vt:lpstr>
      <vt:lpstr>AIS_units05</vt:lpstr>
      <vt:lpstr>AIS_units06</vt:lpstr>
      <vt:lpstr>AIS_units07</vt:lpstr>
      <vt:lpstr>AIS_units08</vt:lpstr>
      <vt:lpstr>AIS_units09</vt:lpstr>
      <vt:lpstr>AIS_units10</vt:lpstr>
      <vt:lpstr>AIS_units11</vt:lpstr>
      <vt:lpstr>AIS_units12</vt:lpstr>
      <vt:lpstr>AIS_units13</vt:lpstr>
      <vt:lpstr>AIS_units14</vt:lpstr>
      <vt:lpstr>AIS_units16</vt:lpstr>
      <vt:lpstr>AIS_units17</vt:lpstr>
      <vt:lpstr>AIS_units18</vt:lpstr>
      <vt:lpstr>AIS_units19</vt:lpstr>
      <vt:lpstr>AIS_units20</vt:lpstr>
      <vt:lpstr>AIS_units21</vt:lpstr>
      <vt:lpstr>AIS_units22</vt:lpstr>
      <vt:lpstr>AIS_units23</vt:lpstr>
      <vt:lpstr>AIS_units24</vt:lpstr>
      <vt:lpstr>AIS_units25</vt:lpstr>
      <vt:lpstr>AIS_units26</vt:lpstr>
      <vt:lpstr>AIS_units27</vt:lpstr>
      <vt:lpstr>AIS_units28</vt:lpstr>
      <vt:lpstr>AIS_units29</vt:lpstr>
      <vt:lpstr>Sheet3!AIS_use</vt:lpstr>
      <vt:lpstr>AIS_use</vt:lpstr>
      <vt:lpstr>Sheet3!AIS_Yes</vt:lpstr>
      <vt:lpstr>AIS_Yes</vt:lpstr>
      <vt:lpstr>apartment</vt:lpstr>
      <vt:lpstr>BP_01</vt:lpstr>
      <vt:lpstr>BP_02</vt:lpstr>
      <vt:lpstr>BP_03</vt:lpstr>
      <vt:lpstr>BP_04</vt:lpstr>
      <vt:lpstr>BP_05</vt:lpstr>
      <vt:lpstr>BP_06</vt:lpstr>
      <vt:lpstr>BP_07</vt:lpstr>
      <vt:lpstr>BP_08</vt:lpstr>
      <vt:lpstr>BP_09</vt:lpstr>
      <vt:lpstr>BP_10</vt:lpstr>
      <vt:lpstr>BP_11</vt:lpstr>
      <vt:lpstr>BP_12</vt:lpstr>
      <vt:lpstr>BP_13</vt:lpstr>
      <vt:lpstr>BP_14</vt:lpstr>
      <vt:lpstr>BP_15</vt:lpstr>
      <vt:lpstr>BP_16</vt:lpstr>
      <vt:lpstr>BP_18</vt:lpstr>
      <vt:lpstr>BP_19</vt:lpstr>
      <vt:lpstr>BP_20</vt:lpstr>
      <vt:lpstr>BP_21</vt:lpstr>
      <vt:lpstr>BP_22</vt:lpstr>
      <vt:lpstr>BP_23</vt:lpstr>
      <vt:lpstr>BP_24</vt:lpstr>
      <vt:lpstr>BP_25</vt:lpstr>
      <vt:lpstr>BP_26</vt:lpstr>
      <vt:lpstr>BP_27</vt:lpstr>
      <vt:lpstr>BP_28</vt:lpstr>
      <vt:lpstr>BP_29</vt:lpstr>
      <vt:lpstr>BP_30</vt:lpstr>
      <vt:lpstr>BP_31</vt:lpstr>
      <vt:lpstr>BP_32</vt:lpstr>
      <vt:lpstr>BP_34</vt:lpstr>
      <vt:lpstr>BP_35</vt:lpstr>
      <vt:lpstr>BP_36</vt:lpstr>
      <vt:lpstr>BP_38</vt:lpstr>
      <vt:lpstr>BP_39</vt:lpstr>
      <vt:lpstr>BP_40</vt:lpstr>
      <vt:lpstr>BP_BREEAMRating</vt:lpstr>
      <vt:lpstr>BP_Energy_score</vt:lpstr>
      <vt:lpstr>BP_Innovation_score</vt:lpstr>
      <vt:lpstr>BP_LUE_score</vt:lpstr>
      <vt:lpstr>BP_Man_score</vt:lpstr>
      <vt:lpstr>BP_Materials_score</vt:lpstr>
      <vt:lpstr>BP_MinStandards</vt:lpstr>
      <vt:lpstr>BP_MinStandards_const</vt:lpstr>
      <vt:lpstr>BP_MinStandards_design</vt:lpstr>
      <vt:lpstr>BP_rating_benchmarks</vt:lpstr>
      <vt:lpstr>BP_Trans_score</vt:lpstr>
      <vt:lpstr>BP_Waste_Score</vt:lpstr>
      <vt:lpstr>BP_Water_score</vt:lpstr>
      <vt:lpstr>BRK_Banner</vt:lpstr>
      <vt:lpstr>ELI</vt:lpstr>
      <vt:lpstr>ENE</vt:lpstr>
      <vt:lpstr>Ene_01</vt:lpstr>
      <vt:lpstr>Ene_02</vt:lpstr>
      <vt:lpstr>Ene_03</vt:lpstr>
      <vt:lpstr>Ene_04</vt:lpstr>
      <vt:lpstr>Ene_05</vt:lpstr>
      <vt:lpstr>Ene_06</vt:lpstr>
      <vt:lpstr>Ene_07</vt:lpstr>
      <vt:lpstr>Ene_08</vt:lpstr>
      <vt:lpstr>Ene_09</vt:lpstr>
      <vt:lpstr>Ene_23</vt:lpstr>
      <vt:lpstr>Ene_c_user</vt:lpstr>
      <vt:lpstr>Ene_cont_tot</vt:lpstr>
      <vt:lpstr>Ene_Credits</vt:lpstr>
      <vt:lpstr>Ene_d_user</vt:lpstr>
      <vt:lpstr>Ene_tot_user</vt:lpstr>
      <vt:lpstr>Ene01_27</vt:lpstr>
      <vt:lpstr>Ene01_28</vt:lpstr>
      <vt:lpstr>Ene01_41</vt:lpstr>
      <vt:lpstr>Ene01_42</vt:lpstr>
      <vt:lpstr>Ene01_credits</vt:lpstr>
      <vt:lpstr>Ene01_minstd</vt:lpstr>
      <vt:lpstr>Ene01_tot</vt:lpstr>
      <vt:lpstr>Ene01_user</vt:lpstr>
      <vt:lpstr>Ene02_10</vt:lpstr>
      <vt:lpstr>Ene02_11</vt:lpstr>
      <vt:lpstr>Ene02_12</vt:lpstr>
      <vt:lpstr>Ene02_13</vt:lpstr>
      <vt:lpstr>Ene02_credits</vt:lpstr>
      <vt:lpstr>Ene02_tot</vt:lpstr>
      <vt:lpstr>Ene02_user</vt:lpstr>
      <vt:lpstr>Ene03_05</vt:lpstr>
      <vt:lpstr>Ene03_06</vt:lpstr>
      <vt:lpstr>Ene03_credits</vt:lpstr>
      <vt:lpstr>Ene03_minstd</vt:lpstr>
      <vt:lpstr>Ene03_user</vt:lpstr>
      <vt:lpstr>Ene04_15</vt:lpstr>
      <vt:lpstr>Ene04_16</vt:lpstr>
      <vt:lpstr>Ene04_19</vt:lpstr>
      <vt:lpstr>Ene04_20</vt:lpstr>
      <vt:lpstr>Ene04_credits</vt:lpstr>
      <vt:lpstr>Ene04_tot</vt:lpstr>
      <vt:lpstr>Ene04_user</vt:lpstr>
      <vt:lpstr>Ene05_14</vt:lpstr>
      <vt:lpstr>Ene05_15</vt:lpstr>
      <vt:lpstr>Ene05_20</vt:lpstr>
      <vt:lpstr>Ene05_21</vt:lpstr>
      <vt:lpstr>Ene05_credits</vt:lpstr>
      <vt:lpstr>Ene05_tot</vt:lpstr>
      <vt:lpstr>Ene05_user</vt:lpstr>
      <vt:lpstr>Ene06_11</vt:lpstr>
      <vt:lpstr>Ene06_12</vt:lpstr>
      <vt:lpstr>Ene06_credits</vt:lpstr>
      <vt:lpstr>Ene06_minstd</vt:lpstr>
      <vt:lpstr>Ene06_tot</vt:lpstr>
      <vt:lpstr>Ene06_user</vt:lpstr>
      <vt:lpstr>Ene07_24</vt:lpstr>
      <vt:lpstr>Ene07_25</vt:lpstr>
      <vt:lpstr>Ene07_credits</vt:lpstr>
      <vt:lpstr>Ene07_minstd</vt:lpstr>
      <vt:lpstr>Ene07_tot</vt:lpstr>
      <vt:lpstr>Ene07_user</vt:lpstr>
      <vt:lpstr>Ene08_27</vt:lpstr>
      <vt:lpstr>Ene08_29</vt:lpstr>
      <vt:lpstr>Ene08_credits</vt:lpstr>
      <vt:lpstr>Ene08_minstd</vt:lpstr>
      <vt:lpstr>Ene08_tot</vt:lpstr>
      <vt:lpstr>Ene08_user</vt:lpstr>
      <vt:lpstr>Ene09_07</vt:lpstr>
      <vt:lpstr>Ene09_10</vt:lpstr>
      <vt:lpstr>Ene09_credits</vt:lpstr>
      <vt:lpstr>Ene09_minstd</vt:lpstr>
      <vt:lpstr>Ene09_tot</vt:lpstr>
      <vt:lpstr>Ene09_user</vt:lpstr>
      <vt:lpstr>Ene23_cont</vt:lpstr>
      <vt:lpstr>Ene23_credits</vt:lpstr>
      <vt:lpstr>Ene23_minstd</vt:lpstr>
      <vt:lpstr>Ene23_user</vt:lpstr>
      <vt:lpstr>HEA</vt:lpstr>
      <vt:lpstr>Hea_01</vt:lpstr>
      <vt:lpstr>Hea_02</vt:lpstr>
      <vt:lpstr>Hea_03</vt:lpstr>
      <vt:lpstr>Hea_04</vt:lpstr>
      <vt:lpstr>Hea_05</vt:lpstr>
      <vt:lpstr>Hea_06</vt:lpstr>
      <vt:lpstr>Hea_07</vt:lpstr>
      <vt:lpstr>Hea_08</vt:lpstr>
      <vt:lpstr>Hea_09</vt:lpstr>
      <vt:lpstr>Hea_cont_tot</vt:lpstr>
      <vt:lpstr>Hea_Credits</vt:lpstr>
      <vt:lpstr>Hea_Weight</vt:lpstr>
      <vt:lpstr>Hea01_26</vt:lpstr>
      <vt:lpstr>Hea01_27</vt:lpstr>
      <vt:lpstr>Hea01_credits</vt:lpstr>
      <vt:lpstr>Hea01_Crit1</vt:lpstr>
      <vt:lpstr>Hea01_Crit1_cont</vt:lpstr>
      <vt:lpstr>Hea01_Crit1_credits</vt:lpstr>
      <vt:lpstr>Hea01_minstd</vt:lpstr>
      <vt:lpstr>Hea01_user</vt:lpstr>
      <vt:lpstr>Hea02_25</vt:lpstr>
      <vt:lpstr>Hea02_26</vt:lpstr>
      <vt:lpstr>Hea02_credits</vt:lpstr>
      <vt:lpstr>Hea02_minstd</vt:lpstr>
      <vt:lpstr>Hea02_tot</vt:lpstr>
      <vt:lpstr>Hea02_user</vt:lpstr>
      <vt:lpstr>Hea03_09</vt:lpstr>
      <vt:lpstr>Hea03_10</vt:lpstr>
      <vt:lpstr>Hea03_11</vt:lpstr>
      <vt:lpstr>Hea03_contr</vt:lpstr>
      <vt:lpstr>Hea03_credits</vt:lpstr>
      <vt:lpstr>Hea03_tot</vt:lpstr>
      <vt:lpstr>Hea03_user</vt:lpstr>
      <vt:lpstr>Hea04_10</vt:lpstr>
      <vt:lpstr>Hea04_11</vt:lpstr>
      <vt:lpstr>Hea04_12</vt:lpstr>
      <vt:lpstr>Hea04_13</vt:lpstr>
      <vt:lpstr>Hea04_credits</vt:lpstr>
      <vt:lpstr>Hea04_tot</vt:lpstr>
      <vt:lpstr>Hea04_user</vt:lpstr>
      <vt:lpstr>Hea05_07</vt:lpstr>
      <vt:lpstr>Hea05_08</vt:lpstr>
      <vt:lpstr>Hea05_credits</vt:lpstr>
      <vt:lpstr>Hea05_minstd</vt:lpstr>
      <vt:lpstr>Hea05_tot</vt:lpstr>
      <vt:lpstr>Hea05_user</vt:lpstr>
      <vt:lpstr>Hea06_07</vt:lpstr>
      <vt:lpstr>Hea06_contr</vt:lpstr>
      <vt:lpstr>Hea06_credits</vt:lpstr>
      <vt:lpstr>Hea06_minstd</vt:lpstr>
      <vt:lpstr>Hea06_tot</vt:lpstr>
      <vt:lpstr>Hea06_user</vt:lpstr>
      <vt:lpstr>Hea07_07</vt:lpstr>
      <vt:lpstr>Hea07_contr</vt:lpstr>
      <vt:lpstr>Hea07_Credits</vt:lpstr>
      <vt:lpstr>Hea07_minstd</vt:lpstr>
      <vt:lpstr>Hea07_Tot</vt:lpstr>
      <vt:lpstr>Hea07_user</vt:lpstr>
      <vt:lpstr>Hea08_07</vt:lpstr>
      <vt:lpstr>Hea08_contr</vt:lpstr>
      <vt:lpstr>Hea08_Credits</vt:lpstr>
      <vt:lpstr>Hea08_minstd</vt:lpstr>
      <vt:lpstr>Hea08_tot</vt:lpstr>
      <vt:lpstr>Hea08_user</vt:lpstr>
      <vt:lpstr>Hea09_cont</vt:lpstr>
      <vt:lpstr>Hea09_Credits</vt:lpstr>
      <vt:lpstr>Hea09_minstd</vt:lpstr>
      <vt:lpstr>Hea09_user</vt:lpstr>
      <vt:lpstr>HUG</vt:lpstr>
      <vt:lpstr>HW_c_user</vt:lpstr>
      <vt:lpstr>HW_d_user</vt:lpstr>
      <vt:lpstr>HW_tot_user</vt:lpstr>
      <vt:lpstr>inddwell</vt:lpstr>
      <vt:lpstr>Inn_01</vt:lpstr>
      <vt:lpstr>Inn_02</vt:lpstr>
      <vt:lpstr>Inn_03</vt:lpstr>
      <vt:lpstr>Inn_04</vt:lpstr>
      <vt:lpstr>Inn_05</vt:lpstr>
      <vt:lpstr>Inn_06</vt:lpstr>
      <vt:lpstr>Inn_07</vt:lpstr>
      <vt:lpstr>Inn_08</vt:lpstr>
      <vt:lpstr>Inn_09</vt:lpstr>
      <vt:lpstr>Inn_c_user</vt:lpstr>
      <vt:lpstr>Inn_cont_tot</vt:lpstr>
      <vt:lpstr>Inn_Credits</vt:lpstr>
      <vt:lpstr>Inn_d_user</vt:lpstr>
      <vt:lpstr>Inn_tot_user</vt:lpstr>
      <vt:lpstr>Inn_Weight</vt:lpstr>
      <vt:lpstr>Inn01_cont</vt:lpstr>
      <vt:lpstr>Inn01_credits</vt:lpstr>
      <vt:lpstr>Inn01_minstd</vt:lpstr>
      <vt:lpstr>Inn01_user</vt:lpstr>
      <vt:lpstr>Inn02_cont</vt:lpstr>
      <vt:lpstr>Inn02_credits</vt:lpstr>
      <vt:lpstr>Inn02_minstd</vt:lpstr>
      <vt:lpstr>Inn02_user</vt:lpstr>
      <vt:lpstr>Inn03_cont</vt:lpstr>
      <vt:lpstr>Inn03_credits</vt:lpstr>
      <vt:lpstr>Inn03_minstd</vt:lpstr>
      <vt:lpstr>Inn03_user</vt:lpstr>
      <vt:lpstr>Inn04_cont</vt:lpstr>
      <vt:lpstr>Inn04_credits</vt:lpstr>
      <vt:lpstr>Inn04_minstd</vt:lpstr>
      <vt:lpstr>Inn04_user</vt:lpstr>
      <vt:lpstr>Inn05_cont</vt:lpstr>
      <vt:lpstr>Inn05_credits</vt:lpstr>
      <vt:lpstr>Inn05_minstd</vt:lpstr>
      <vt:lpstr>Inn05_user</vt:lpstr>
      <vt:lpstr>Inn06_cont</vt:lpstr>
      <vt:lpstr>Inn06_credits</vt:lpstr>
      <vt:lpstr>Inn06_minstd</vt:lpstr>
      <vt:lpstr>Inn06_user</vt:lpstr>
      <vt:lpstr>Inn07_cont</vt:lpstr>
      <vt:lpstr>Inn07_credits</vt:lpstr>
      <vt:lpstr>Inn07_minstd</vt:lpstr>
      <vt:lpstr>Inn07_user</vt:lpstr>
      <vt:lpstr>Inn08_cont</vt:lpstr>
      <vt:lpstr>Inn08_credits</vt:lpstr>
      <vt:lpstr>Inn08_minstd</vt:lpstr>
      <vt:lpstr>Inn08_user</vt:lpstr>
      <vt:lpstr>Inn09_cont</vt:lpstr>
      <vt:lpstr>Inn09_credits</vt:lpstr>
      <vt:lpstr>Inn09_minstd</vt:lpstr>
      <vt:lpstr>Inn09_user</vt:lpstr>
      <vt:lpstr>KPI_01</vt:lpstr>
      <vt:lpstr>KPI_02</vt:lpstr>
      <vt:lpstr>KPI_03</vt:lpstr>
      <vt:lpstr>KPI_04</vt:lpstr>
      <vt:lpstr>KPI_05</vt:lpstr>
      <vt:lpstr>KPI_06</vt:lpstr>
      <vt:lpstr>KPI_07</vt:lpstr>
      <vt:lpstr>KPI_08</vt:lpstr>
      <vt:lpstr>KPI_09</vt:lpstr>
      <vt:lpstr>KPI_10</vt:lpstr>
      <vt:lpstr>KPI_11</vt:lpstr>
      <vt:lpstr>KPI_12</vt:lpstr>
      <vt:lpstr>KPI_13</vt:lpstr>
      <vt:lpstr>KPI_14</vt:lpstr>
      <vt:lpstr>KPI_15</vt:lpstr>
      <vt:lpstr>KPI_16</vt:lpstr>
      <vt:lpstr>KPI_17</vt:lpstr>
      <vt:lpstr>KPI_18</vt:lpstr>
      <vt:lpstr>KPI_19</vt:lpstr>
      <vt:lpstr>KPI_20</vt:lpstr>
      <vt:lpstr>KPI_21</vt:lpstr>
      <vt:lpstr>KPI_22</vt:lpstr>
      <vt:lpstr>KPI_23</vt:lpstr>
      <vt:lpstr>KPI_24</vt:lpstr>
      <vt:lpstr>KPI_25</vt:lpstr>
      <vt:lpstr>KPI_26</vt:lpstr>
      <vt:lpstr>KPI_27</vt:lpstr>
      <vt:lpstr>KPI_27a</vt:lpstr>
      <vt:lpstr>KPI_27b</vt:lpstr>
      <vt:lpstr>KPI_28</vt:lpstr>
      <vt:lpstr>KPI_28u</vt:lpstr>
      <vt:lpstr>KPI_29</vt:lpstr>
      <vt:lpstr>KPI_29a</vt:lpstr>
      <vt:lpstr>KPI_29u</vt:lpstr>
      <vt:lpstr>KPI_30</vt:lpstr>
      <vt:lpstr>KPI_31</vt:lpstr>
      <vt:lpstr>KPI_32</vt:lpstr>
      <vt:lpstr>KPI_33</vt:lpstr>
      <vt:lpstr>KPI_33a</vt:lpstr>
      <vt:lpstr>KPI_33b</vt:lpstr>
      <vt:lpstr>KPI_34</vt:lpstr>
      <vt:lpstr>KPI_34a</vt:lpstr>
      <vt:lpstr>KPI_35</vt:lpstr>
      <vt:lpstr>KPI_36</vt:lpstr>
      <vt:lpstr>KPI_37</vt:lpstr>
      <vt:lpstr>LE</vt:lpstr>
      <vt:lpstr>LE_01</vt:lpstr>
      <vt:lpstr>LE_02</vt:lpstr>
      <vt:lpstr>LE_04</vt:lpstr>
      <vt:lpstr>LE_05</vt:lpstr>
      <vt:lpstr>LE_06</vt:lpstr>
      <vt:lpstr>LE_cont_tot</vt:lpstr>
      <vt:lpstr>LE_Credits</vt:lpstr>
      <vt:lpstr>LE01_07</vt:lpstr>
      <vt:lpstr>LE01_08</vt:lpstr>
      <vt:lpstr>LE01_credits</vt:lpstr>
      <vt:lpstr>LE01_minstd</vt:lpstr>
      <vt:lpstr>LE01_tot</vt:lpstr>
      <vt:lpstr>LE01_user</vt:lpstr>
      <vt:lpstr>LE02_07</vt:lpstr>
      <vt:lpstr>LE02_08</vt:lpstr>
      <vt:lpstr>LE02_credits</vt:lpstr>
      <vt:lpstr>LE02_minstd</vt:lpstr>
      <vt:lpstr>LE02_tot</vt:lpstr>
      <vt:lpstr>LE02_user</vt:lpstr>
      <vt:lpstr>LE03_minstd</vt:lpstr>
      <vt:lpstr>LE04_13</vt:lpstr>
      <vt:lpstr>LE04_14</vt:lpstr>
      <vt:lpstr>LE04_credits</vt:lpstr>
      <vt:lpstr>LE04_tot</vt:lpstr>
      <vt:lpstr>LE04_user</vt:lpstr>
      <vt:lpstr>LE05_14</vt:lpstr>
      <vt:lpstr>LE05_15</vt:lpstr>
      <vt:lpstr>LE05_credits</vt:lpstr>
      <vt:lpstr>LE05_minstd</vt:lpstr>
      <vt:lpstr>LE05_minstdach</vt:lpstr>
      <vt:lpstr>LE05_tot</vt:lpstr>
      <vt:lpstr>LE05_user</vt:lpstr>
      <vt:lpstr>LE06_contr</vt:lpstr>
      <vt:lpstr>LE06_credits</vt:lpstr>
      <vt:lpstr>LE06_minstd</vt:lpstr>
      <vt:lpstr>LE06_tot</vt:lpstr>
      <vt:lpstr>LE06_user</vt:lpstr>
      <vt:lpstr>Lue_c_user</vt:lpstr>
      <vt:lpstr>Lue_d_user</vt:lpstr>
      <vt:lpstr>Lue_tot_user</vt:lpstr>
      <vt:lpstr>MAN</vt:lpstr>
      <vt:lpstr>Man_01</vt:lpstr>
      <vt:lpstr>Man_02</vt:lpstr>
      <vt:lpstr>Man_03</vt:lpstr>
      <vt:lpstr>Man_04</vt:lpstr>
      <vt:lpstr>Man_05</vt:lpstr>
      <vt:lpstr>Man_06</vt:lpstr>
      <vt:lpstr>Man_07</vt:lpstr>
      <vt:lpstr>Man_c_user</vt:lpstr>
      <vt:lpstr>Man_cont_tot</vt:lpstr>
      <vt:lpstr>Man_Credits</vt:lpstr>
      <vt:lpstr>Man_d_user</vt:lpstr>
      <vt:lpstr>Man_tot_user</vt:lpstr>
      <vt:lpstr>Man01_37</vt:lpstr>
      <vt:lpstr>Man01_38</vt:lpstr>
      <vt:lpstr>Man01_39</vt:lpstr>
      <vt:lpstr>Man01_credits</vt:lpstr>
      <vt:lpstr>Man01_Exemp</vt:lpstr>
      <vt:lpstr>Man01_Tot</vt:lpstr>
      <vt:lpstr>Man01_user</vt:lpstr>
      <vt:lpstr>Man02_11</vt:lpstr>
      <vt:lpstr>Man02_12</vt:lpstr>
      <vt:lpstr>Man02_credits</vt:lpstr>
      <vt:lpstr>Man02_Exempl</vt:lpstr>
      <vt:lpstr>Man02_minstd</vt:lpstr>
      <vt:lpstr>Man02_Tot</vt:lpstr>
      <vt:lpstr>Man02_user</vt:lpstr>
      <vt:lpstr>Man03_12</vt:lpstr>
      <vt:lpstr>Man03_18</vt:lpstr>
      <vt:lpstr>Man03_credits</vt:lpstr>
      <vt:lpstr>Man03_minstd</vt:lpstr>
      <vt:lpstr>Man03_Tot</vt:lpstr>
      <vt:lpstr>Man03_user</vt:lpstr>
      <vt:lpstr>Man04_17</vt:lpstr>
      <vt:lpstr>Man04_cont</vt:lpstr>
      <vt:lpstr>Man04_credits</vt:lpstr>
      <vt:lpstr>Man04_minstd</vt:lpstr>
      <vt:lpstr>Man04_tot</vt:lpstr>
      <vt:lpstr>Man04_user</vt:lpstr>
      <vt:lpstr>Man05_10</vt:lpstr>
      <vt:lpstr>Man05_cont</vt:lpstr>
      <vt:lpstr>Man05_credits</vt:lpstr>
      <vt:lpstr>Man05_minstd</vt:lpstr>
      <vt:lpstr>Man05_tot</vt:lpstr>
      <vt:lpstr>Man05_user</vt:lpstr>
      <vt:lpstr>Man06_cont</vt:lpstr>
      <vt:lpstr>Man06_credits</vt:lpstr>
      <vt:lpstr>Man06_minstd</vt:lpstr>
      <vt:lpstr>Man06_user</vt:lpstr>
      <vt:lpstr>Man07_cont</vt:lpstr>
      <vt:lpstr>Man07_credits</vt:lpstr>
      <vt:lpstr>Man07_minstd</vt:lpstr>
      <vt:lpstr>Man07_user</vt:lpstr>
      <vt:lpstr>MAT</vt:lpstr>
      <vt:lpstr>Mat_01</vt:lpstr>
      <vt:lpstr>Mat_03</vt:lpstr>
      <vt:lpstr>Mat_05</vt:lpstr>
      <vt:lpstr>Mat_06</vt:lpstr>
      <vt:lpstr>Mat_c_user</vt:lpstr>
      <vt:lpstr>Mat_cont_tot</vt:lpstr>
      <vt:lpstr>Mat_Credits</vt:lpstr>
      <vt:lpstr>Mat_d_user</vt:lpstr>
      <vt:lpstr>Mat_tot_user</vt:lpstr>
      <vt:lpstr>Mat01_08</vt:lpstr>
      <vt:lpstr>Mat01_27</vt:lpstr>
      <vt:lpstr>Mat01_28</vt:lpstr>
      <vt:lpstr>Mat01_credits</vt:lpstr>
      <vt:lpstr>Mat01_Crit1</vt:lpstr>
      <vt:lpstr>Mat01_Crit1_cont</vt:lpstr>
      <vt:lpstr>Mat01_Crit1_credits</vt:lpstr>
      <vt:lpstr>Mat01_minstd</vt:lpstr>
      <vt:lpstr>Mat01_tot</vt:lpstr>
      <vt:lpstr>Mat01_user</vt:lpstr>
      <vt:lpstr>Mat03_35</vt:lpstr>
      <vt:lpstr>Mat03_36</vt:lpstr>
      <vt:lpstr>Mat03_37</vt:lpstr>
      <vt:lpstr>Mat03_38</vt:lpstr>
      <vt:lpstr>Mat03_credits</vt:lpstr>
      <vt:lpstr>Mat03_Crit1</vt:lpstr>
      <vt:lpstr>Mat03_Crit1_cont</vt:lpstr>
      <vt:lpstr>Mat03_Crit1_credits</vt:lpstr>
      <vt:lpstr>Mat03_minstd</vt:lpstr>
      <vt:lpstr>Mat03_tot</vt:lpstr>
      <vt:lpstr>Mat03_user</vt:lpstr>
      <vt:lpstr>Mat05_05</vt:lpstr>
      <vt:lpstr>Mat05_06</vt:lpstr>
      <vt:lpstr>Mat05_credits</vt:lpstr>
      <vt:lpstr>Mat05_minstd</vt:lpstr>
      <vt:lpstr>Mat05_tot</vt:lpstr>
      <vt:lpstr>Mat05_user</vt:lpstr>
      <vt:lpstr>Mat06_cont</vt:lpstr>
      <vt:lpstr>Mat06_credits</vt:lpstr>
      <vt:lpstr>Mat06_minstd</vt:lpstr>
      <vt:lpstr>Mat06_user</vt:lpstr>
      <vt:lpstr>Min_Ex_Ref</vt:lpstr>
      <vt:lpstr>Min_Gd_Ref</vt:lpstr>
      <vt:lpstr>Min_No_Ref</vt:lpstr>
      <vt:lpstr>Min_Out_Ref</vt:lpstr>
      <vt:lpstr>Min_Pas_Ref</vt:lpstr>
      <vt:lpstr>Min_VG_Ref</vt:lpstr>
      <vt:lpstr>MinSt_01</vt:lpstr>
      <vt:lpstr>MinSt_02</vt:lpstr>
      <vt:lpstr>MinSt_03</vt:lpstr>
      <vt:lpstr>MinSt_04</vt:lpstr>
      <vt:lpstr>MinSt_05</vt:lpstr>
      <vt:lpstr>MinSt_06</vt:lpstr>
      <vt:lpstr>MinSt_07</vt:lpstr>
      <vt:lpstr>MinSt_08</vt:lpstr>
      <vt:lpstr>MinSt_09</vt:lpstr>
      <vt:lpstr>MinSt_10</vt:lpstr>
      <vt:lpstr>MinSt_11</vt:lpstr>
      <vt:lpstr>MinSt_12</vt:lpstr>
      <vt:lpstr>MinSt_13</vt:lpstr>
      <vt:lpstr>MinSt_14</vt:lpstr>
      <vt:lpstr>MinSt_15</vt:lpstr>
      <vt:lpstr>MinSt_16</vt:lpstr>
      <vt:lpstr>Note_minstand</vt:lpstr>
      <vt:lpstr>Note_minstand_const</vt:lpstr>
      <vt:lpstr>Note_minstand_design</vt:lpstr>
      <vt:lpstr>Poeng_bort</vt:lpstr>
      <vt:lpstr>Poeng_tilgj</vt:lpstr>
      <vt:lpstr>Poeng_tot</vt:lpstr>
      <vt:lpstr>POL</vt:lpstr>
      <vt:lpstr>Pol_01</vt:lpstr>
      <vt:lpstr>Pol_02</vt:lpstr>
      <vt:lpstr>Pol_03</vt:lpstr>
      <vt:lpstr>Pol_04</vt:lpstr>
      <vt:lpstr>Pol_05</vt:lpstr>
      <vt:lpstr>Pol_c_user</vt:lpstr>
      <vt:lpstr>Pol_cont_tot</vt:lpstr>
      <vt:lpstr>Pol_Credits</vt:lpstr>
      <vt:lpstr>Pol_d_user</vt:lpstr>
      <vt:lpstr>Pol_tot_user</vt:lpstr>
      <vt:lpstr>Pol_Weight</vt:lpstr>
      <vt:lpstr>Pol01_19</vt:lpstr>
      <vt:lpstr>Pol01_20</vt:lpstr>
      <vt:lpstr>Pol01_credits</vt:lpstr>
      <vt:lpstr>Pol01_minstd</vt:lpstr>
      <vt:lpstr>Pol01_tot</vt:lpstr>
      <vt:lpstr>Pol01_user</vt:lpstr>
      <vt:lpstr>Pol02_23</vt:lpstr>
      <vt:lpstr>Pol02_26</vt:lpstr>
      <vt:lpstr>Pol02_27</vt:lpstr>
      <vt:lpstr>Pol02_credits</vt:lpstr>
      <vt:lpstr>Pol02_minstd</vt:lpstr>
      <vt:lpstr>Pol02_tot</vt:lpstr>
      <vt:lpstr>Pol02_user</vt:lpstr>
      <vt:lpstr>Pol03_14</vt:lpstr>
      <vt:lpstr>Pol03_15</vt:lpstr>
      <vt:lpstr>Pol03_credits</vt:lpstr>
      <vt:lpstr>Pol03_minstd</vt:lpstr>
      <vt:lpstr>Pol03_tot</vt:lpstr>
      <vt:lpstr>Pol03_user</vt:lpstr>
      <vt:lpstr>Pol04_05</vt:lpstr>
      <vt:lpstr>Pol04_06</vt:lpstr>
      <vt:lpstr>Pol04_credits</vt:lpstr>
      <vt:lpstr>Pol04_minstd</vt:lpstr>
      <vt:lpstr>Pol04_tot</vt:lpstr>
      <vt:lpstr>Pol04_user</vt:lpstr>
      <vt:lpstr>Pol05_10</vt:lpstr>
      <vt:lpstr>Pol05_11</vt:lpstr>
      <vt:lpstr>Pol05_credits</vt:lpstr>
      <vt:lpstr>Pol05_minstd</vt:lpstr>
      <vt:lpstr>Pol05_tot</vt:lpstr>
      <vt:lpstr>Pol05_user</vt:lpstr>
      <vt:lpstr>'Assessment Details'!Print_Area</vt:lpstr>
      <vt:lpstr>'Assessment Issue Scoring'!Print_Area</vt:lpstr>
      <vt:lpstr>'Assessment Rating &amp; KPIs'!Print_Area</vt:lpstr>
      <vt:lpstr>'Assessment References'!Print_Area</vt:lpstr>
      <vt:lpstr>Instructions!Print_Area</vt:lpstr>
      <vt:lpstr>'Pre-Assessment Estimator'!Print_Area</vt:lpstr>
      <vt:lpstr>'Version Control'!Print_Area</vt:lpstr>
      <vt:lpstr>'Pre-Assessment Estimator'!Print_Titles</vt:lpstr>
      <vt:lpstr>projecttype</vt:lpstr>
      <vt:lpstr>Score_const</vt:lpstr>
      <vt:lpstr>Score_design</vt:lpstr>
      <vt:lpstr>Score_Initial</vt:lpstr>
      <vt:lpstr>TRA</vt:lpstr>
      <vt:lpstr>Tra_01</vt:lpstr>
      <vt:lpstr>Tra_02</vt:lpstr>
      <vt:lpstr>Tra_03</vt:lpstr>
      <vt:lpstr>Tra_04</vt:lpstr>
      <vt:lpstr>Tra_05</vt:lpstr>
      <vt:lpstr>Tra_c_user</vt:lpstr>
      <vt:lpstr>Tra_cont_tot</vt:lpstr>
      <vt:lpstr>Tra_Credits</vt:lpstr>
      <vt:lpstr>Tra_d_user</vt:lpstr>
      <vt:lpstr>Tra_tot_user</vt:lpstr>
      <vt:lpstr>Tra01_07</vt:lpstr>
      <vt:lpstr>TRa01_08</vt:lpstr>
      <vt:lpstr>TRA01_BuildType</vt:lpstr>
      <vt:lpstr>TRA01_BuildType_KOPI</vt:lpstr>
      <vt:lpstr>Tra01_credits</vt:lpstr>
      <vt:lpstr>Tra01_minstd</vt:lpstr>
      <vt:lpstr>Tra01_tot</vt:lpstr>
      <vt:lpstr>Tra01_type7</vt:lpstr>
      <vt:lpstr>Tra01_user</vt:lpstr>
      <vt:lpstr>Tra02_06</vt:lpstr>
      <vt:lpstr>Tra02_07</vt:lpstr>
      <vt:lpstr>Tra02_credits</vt:lpstr>
      <vt:lpstr>Tra02_minstd</vt:lpstr>
      <vt:lpstr>Tra02_tot</vt:lpstr>
      <vt:lpstr>Tra02_user</vt:lpstr>
      <vt:lpstr>Tra03_01</vt:lpstr>
      <vt:lpstr>Tra03_02</vt:lpstr>
      <vt:lpstr>Tra03_02_KOPI</vt:lpstr>
      <vt:lpstr>Tra03_13</vt:lpstr>
      <vt:lpstr>Tra03_14</vt:lpstr>
      <vt:lpstr>Tra03_credits</vt:lpstr>
      <vt:lpstr>Tra03_minstd</vt:lpstr>
      <vt:lpstr>Tra03_tot</vt:lpstr>
      <vt:lpstr>Tra03_user</vt:lpstr>
      <vt:lpstr>Tra04_09</vt:lpstr>
      <vt:lpstr>Tra04_10</vt:lpstr>
      <vt:lpstr>Tra04_credits</vt:lpstr>
      <vt:lpstr>Tra04_minstd</vt:lpstr>
      <vt:lpstr>Tra04_tot</vt:lpstr>
      <vt:lpstr>Tra04_user</vt:lpstr>
      <vt:lpstr>Tra05_04</vt:lpstr>
      <vt:lpstr>Tra05_05</vt:lpstr>
      <vt:lpstr>Tra05_credits</vt:lpstr>
      <vt:lpstr>Tra05_minstd</vt:lpstr>
      <vt:lpstr>Tra05_tot</vt:lpstr>
      <vt:lpstr>Tra05_user</vt:lpstr>
      <vt:lpstr>Tra06_04</vt:lpstr>
      <vt:lpstr>Tra06_05</vt:lpstr>
      <vt:lpstr>Tra06_credits</vt:lpstr>
      <vt:lpstr>Tra06_user</vt:lpstr>
      <vt:lpstr>TVC_current_date</vt:lpstr>
      <vt:lpstr>TVC_current_version</vt:lpstr>
      <vt:lpstr>WAT</vt:lpstr>
      <vt:lpstr>Wat__Credits</vt:lpstr>
      <vt:lpstr>Wat_01</vt:lpstr>
      <vt:lpstr>Wat_02</vt:lpstr>
      <vt:lpstr>Wat_03</vt:lpstr>
      <vt:lpstr>Wat_04</vt:lpstr>
      <vt:lpstr>Wat_c_user</vt:lpstr>
      <vt:lpstr>Wat_cont_tot</vt:lpstr>
      <vt:lpstr>Wat_Credits</vt:lpstr>
      <vt:lpstr>Wat_d_user</vt:lpstr>
      <vt:lpstr>Wat_tot_user</vt:lpstr>
      <vt:lpstr>Wat01_08</vt:lpstr>
      <vt:lpstr>Wat01_09</vt:lpstr>
      <vt:lpstr>Wat01_14</vt:lpstr>
      <vt:lpstr>Wat01_15</vt:lpstr>
      <vt:lpstr>Wat01_credits</vt:lpstr>
      <vt:lpstr>Wat01_minstd</vt:lpstr>
      <vt:lpstr>Wat01_tot</vt:lpstr>
      <vt:lpstr>Wat01_user</vt:lpstr>
      <vt:lpstr>Wat02_10</vt:lpstr>
      <vt:lpstr>Wat02_11</vt:lpstr>
      <vt:lpstr>Wat02_12</vt:lpstr>
      <vt:lpstr>Wat02_13</vt:lpstr>
      <vt:lpstr>Wat02_credits</vt:lpstr>
      <vt:lpstr>Wat02_tot</vt:lpstr>
      <vt:lpstr>Wat02_user</vt:lpstr>
      <vt:lpstr>Wat03_09</vt:lpstr>
      <vt:lpstr>Wat03_10</vt:lpstr>
      <vt:lpstr>Wat03_credits</vt:lpstr>
      <vt:lpstr>Wat03_minstd</vt:lpstr>
      <vt:lpstr>Wat03_tot</vt:lpstr>
      <vt:lpstr>Wat03_user</vt:lpstr>
      <vt:lpstr>Wat04_05</vt:lpstr>
      <vt:lpstr>Wat04_06</vt:lpstr>
      <vt:lpstr>Wat04_credits</vt:lpstr>
      <vt:lpstr>Wat04_minstd</vt:lpstr>
      <vt:lpstr>Wat04_tot</vt:lpstr>
      <vt:lpstr>Wat04_user</vt:lpstr>
      <vt:lpstr>WST</vt:lpstr>
      <vt:lpstr>Wst_01</vt:lpstr>
      <vt:lpstr>Wst_02</vt:lpstr>
      <vt:lpstr>Wst_03</vt:lpstr>
      <vt:lpstr>Wst_04</vt:lpstr>
      <vt:lpstr>Wst_c_user</vt:lpstr>
      <vt:lpstr>Wst_cont_tot</vt:lpstr>
      <vt:lpstr>Wst_Credits</vt:lpstr>
      <vt:lpstr>Wst_d_user</vt:lpstr>
      <vt:lpstr>Wst_tot_user</vt:lpstr>
      <vt:lpstr>Wst01_17</vt:lpstr>
      <vt:lpstr>Wst01_18</vt:lpstr>
      <vt:lpstr>Wst01_27</vt:lpstr>
      <vt:lpstr>Wst01_28</vt:lpstr>
      <vt:lpstr>Wst01_credits</vt:lpstr>
      <vt:lpstr>Wst01_tot</vt:lpstr>
      <vt:lpstr>Wst01_user</vt:lpstr>
      <vt:lpstr>Wst02_11</vt:lpstr>
      <vt:lpstr>Wst02_14</vt:lpstr>
      <vt:lpstr>Wst02_15</vt:lpstr>
      <vt:lpstr>Wst02_credits</vt:lpstr>
      <vt:lpstr>Wst02_minstd</vt:lpstr>
      <vt:lpstr>Wst02_tot</vt:lpstr>
      <vt:lpstr>Wst02_user</vt:lpstr>
      <vt:lpstr>Wst03_09</vt:lpstr>
      <vt:lpstr>Wst03_10</vt:lpstr>
      <vt:lpstr>Wst03_12</vt:lpstr>
      <vt:lpstr>Wst03_13</vt:lpstr>
      <vt:lpstr>Wst03_credits</vt:lpstr>
      <vt:lpstr>Wst03_tot</vt:lpstr>
      <vt:lpstr>Wst03_user</vt:lpstr>
      <vt:lpstr>Wst04_08</vt:lpstr>
      <vt:lpstr>Wst04_09</vt:lpstr>
      <vt:lpstr>Wst04_credits</vt:lpstr>
      <vt:lpstr>Wst04_minstd</vt:lpstr>
      <vt:lpstr>Wst04_tot</vt:lpstr>
      <vt:lpstr>Wst04_user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BRE Global Ltd</dc:creator>
  <cp:lastModifiedBy>Oddbjørn Dahlstrøm</cp:lastModifiedBy>
  <cp:lastPrinted>2019-05-27T10:56:49Z</cp:lastPrinted>
  <dcterms:created xsi:type="dcterms:W3CDTF">2011-03-28T14:05:06Z</dcterms:created>
  <dcterms:modified xsi:type="dcterms:W3CDTF">2019-11-13T08:07:24Z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3b22d5bb-eecc-49b2-a2e5-42e8017d6499</vt:lpwstr>
  </property>
  <property fmtid="{D5CDD505-2E9C-101B-9397-08002B2CF9AE}" pid="3" name="ContentTypeId">
    <vt:lpwstr>0x010100473ED8D844509B40B8ED2A4F57557FDF</vt:lpwstr>
  </property>
</Properties>
</file>